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8" windowWidth="18180" windowHeight="4140"/>
  </bookViews>
  <sheets>
    <sheet name="Nykyarvolaskelma" sheetId="2" r:id="rId1"/>
    <sheet name="Sheet3" sheetId="3" r:id="rId2"/>
  </sheets>
  <definedNames>
    <definedName name="hehtaarit">Nykyarvolaskelma!$D$10</definedName>
    <definedName name="humala">Nykyarvolaskelma!$D$8</definedName>
    <definedName name="korko">Nykyarvolaskelma!$D$5</definedName>
    <definedName name="lopo">Nykyarvolaskelma!$D$7</definedName>
    <definedName name="normisato">Nykyarvolaskelma!$D$12</definedName>
    <definedName name="palkka">Nykyarvolaskelma!$D$6</definedName>
    <definedName name="taimi">Nykyarvolaskelma!$D$9</definedName>
    <definedName name="tuet">Nykyarvolaskelma!$D$11</definedName>
  </definedNames>
  <calcPr calcId="145621"/>
</workbook>
</file>

<file path=xl/calcChain.xml><?xml version="1.0" encoding="utf-8"?>
<calcChain xmlns="http://schemas.openxmlformats.org/spreadsheetml/2006/main">
  <c r="I74" i="2" l="1"/>
  <c r="J74" i="2"/>
  <c r="K74" i="2"/>
  <c r="L74" i="2"/>
  <c r="M74" i="2"/>
  <c r="N74" i="2"/>
  <c r="O74" i="2"/>
  <c r="P74" i="2"/>
  <c r="Q74" i="2"/>
  <c r="H74" i="2"/>
  <c r="I55" i="2"/>
  <c r="J55" i="2"/>
  <c r="K55" i="2"/>
  <c r="L55" i="2"/>
  <c r="M55" i="2"/>
  <c r="N55" i="2"/>
  <c r="O55" i="2"/>
  <c r="P55" i="2"/>
  <c r="Q55" i="2"/>
  <c r="H55" i="2"/>
  <c r="J53" i="2"/>
  <c r="K53" i="2"/>
  <c r="L53" i="2"/>
  <c r="M53" i="2"/>
  <c r="N53" i="2"/>
  <c r="O53" i="2"/>
  <c r="P53" i="2"/>
  <c r="Q53" i="2"/>
  <c r="I53" i="2"/>
  <c r="H53" i="2"/>
  <c r="E45" i="2"/>
  <c r="J45" i="2" s="1"/>
  <c r="E44" i="2"/>
  <c r="J44" i="2" s="1"/>
  <c r="E73" i="2"/>
  <c r="F33" i="2" l="1"/>
  <c r="K66" i="2"/>
  <c r="L66" i="2"/>
  <c r="M66" i="2"/>
  <c r="N66" i="2"/>
  <c r="O66" i="2"/>
  <c r="P66" i="2"/>
  <c r="Q66" i="2"/>
  <c r="J66" i="2"/>
  <c r="F75" i="2"/>
  <c r="L75" i="2" s="1"/>
  <c r="F73" i="2"/>
  <c r="L73" i="2" s="1"/>
  <c r="F65" i="2"/>
  <c r="L65" i="2" s="1"/>
  <c r="F64" i="2"/>
  <c r="K64" i="2" s="1"/>
  <c r="F63" i="2"/>
  <c r="N63" i="2" s="1"/>
  <c r="F62" i="2"/>
  <c r="F58" i="2"/>
  <c r="F57" i="2"/>
  <c r="E46" i="2"/>
  <c r="J46" i="2" s="1"/>
  <c r="E47" i="2"/>
  <c r="J47" i="2" s="1"/>
  <c r="E43" i="2"/>
  <c r="J43" i="2" s="1"/>
  <c r="F36" i="2"/>
  <c r="F34" i="2"/>
  <c r="F28" i="2"/>
  <c r="F27" i="2"/>
  <c r="F26" i="2"/>
  <c r="H35" i="2"/>
  <c r="M58" i="2" l="1"/>
  <c r="Q58" i="2"/>
  <c r="J58" i="2"/>
  <c r="N58" i="2"/>
  <c r="I58" i="2"/>
  <c r="K58" i="2"/>
  <c r="O58" i="2"/>
  <c r="H58" i="2"/>
  <c r="L58" i="2"/>
  <c r="P58" i="2"/>
  <c r="J57" i="2"/>
  <c r="N57" i="2"/>
  <c r="I57" i="2"/>
  <c r="K57" i="2"/>
  <c r="O57" i="2"/>
  <c r="H57" i="2"/>
  <c r="L57" i="2"/>
  <c r="L59" i="2" s="1"/>
  <c r="P57" i="2"/>
  <c r="M57" i="2"/>
  <c r="Q57" i="2"/>
  <c r="M62" i="2"/>
  <c r="I62" i="2"/>
  <c r="I75" i="2"/>
  <c r="I76" i="2" s="1"/>
  <c r="K62" i="2"/>
  <c r="K63" i="2"/>
  <c r="K75" i="2"/>
  <c r="L76" i="2"/>
  <c r="Q63" i="2"/>
  <c r="L62" i="2"/>
  <c r="P63" i="2"/>
  <c r="Q75" i="2"/>
  <c r="L63" i="2"/>
  <c r="O75" i="2"/>
  <c r="J65" i="2"/>
  <c r="J63" i="2"/>
  <c r="O65" i="2"/>
  <c r="O63" i="2"/>
  <c r="P62" i="2"/>
  <c r="N75" i="2"/>
  <c r="O73" i="2"/>
  <c r="K65" i="2"/>
  <c r="M63" i="2"/>
  <c r="O62" i="2"/>
  <c r="J75" i="2"/>
  <c r="M75" i="2"/>
  <c r="N73" i="2"/>
  <c r="N64" i="2"/>
  <c r="J64" i="2"/>
  <c r="N65" i="2"/>
  <c r="Q64" i="2"/>
  <c r="M64" i="2"/>
  <c r="J62" i="2"/>
  <c r="Q65" i="2"/>
  <c r="M65" i="2"/>
  <c r="P64" i="2"/>
  <c r="L64" i="2"/>
  <c r="N62" i="2"/>
  <c r="J73" i="2"/>
  <c r="Q73" i="2"/>
  <c r="M73" i="2"/>
  <c r="P65" i="2"/>
  <c r="O64" i="2"/>
  <c r="Q62" i="2"/>
  <c r="K73" i="2"/>
  <c r="K76" i="2" s="1"/>
  <c r="P75" i="2"/>
  <c r="P73" i="2"/>
  <c r="H75" i="2"/>
  <c r="H76" i="2" s="1"/>
  <c r="J48" i="2"/>
  <c r="I65" i="2"/>
  <c r="H34" i="2"/>
  <c r="H36" i="2"/>
  <c r="M59" i="2" l="1"/>
  <c r="M76" i="2"/>
  <c r="P59" i="2"/>
  <c r="J76" i="2"/>
  <c r="K59" i="2"/>
  <c r="O76" i="2"/>
  <c r="Q76" i="2"/>
  <c r="N76" i="2"/>
  <c r="M67" i="2"/>
  <c r="N59" i="2"/>
  <c r="I67" i="2"/>
  <c r="P67" i="2"/>
  <c r="P76" i="2"/>
  <c r="J59" i="2"/>
  <c r="N67" i="2"/>
  <c r="L67" i="2"/>
  <c r="L68" i="2" s="1"/>
  <c r="L81" i="2" s="1"/>
  <c r="L82" i="2" s="1"/>
  <c r="K67" i="2"/>
  <c r="K68" i="2" s="1"/>
  <c r="K81" i="2" s="1"/>
  <c r="K82" i="2" s="1"/>
  <c r="J67" i="2"/>
  <c r="O67" i="2"/>
  <c r="Q67" i="2"/>
  <c r="Q59" i="2"/>
  <c r="O59" i="2"/>
  <c r="I59" i="2"/>
  <c r="I68" i="2" s="1"/>
  <c r="I81" i="2" s="1"/>
  <c r="I82" i="2" s="1"/>
  <c r="H59" i="2"/>
  <c r="H68" i="2" s="1"/>
  <c r="H33" i="2"/>
  <c r="H37" i="2" s="1"/>
  <c r="H18" i="2"/>
  <c r="H29" i="2"/>
  <c r="H28" i="2"/>
  <c r="H27" i="2"/>
  <c r="H26" i="2"/>
  <c r="H25" i="2"/>
  <c r="H22" i="2"/>
  <c r="H21" i="2"/>
  <c r="H17" i="2"/>
  <c r="H16" i="2"/>
  <c r="M68" i="2" l="1"/>
  <c r="M81" i="2" s="1"/>
  <c r="M82" i="2" s="1"/>
  <c r="P68" i="2"/>
  <c r="P81" i="2" s="1"/>
  <c r="P82" i="2" s="1"/>
  <c r="H19" i="2"/>
  <c r="H23" i="2"/>
  <c r="J68" i="2"/>
  <c r="J81" i="2" s="1"/>
  <c r="J82" i="2" s="1"/>
  <c r="N68" i="2"/>
  <c r="N81" i="2" s="1"/>
  <c r="N82" i="2" s="1"/>
  <c r="O68" i="2"/>
  <c r="O81" i="2" s="1"/>
  <c r="O82" i="2" s="1"/>
  <c r="Q68" i="2"/>
  <c r="Q81" i="2" s="1"/>
  <c r="Q82" i="2" s="1"/>
  <c r="H30" i="2"/>
  <c r="H39" i="2" l="1"/>
  <c r="H81" i="2" s="1"/>
  <c r="H82" i="2" s="1"/>
  <c r="H83" i="2" s="1"/>
  <c r="I83" i="2" s="1"/>
  <c r="J83" i="2" s="1"/>
  <c r="K83" i="2" s="1"/>
  <c r="L83" i="2" s="1"/>
  <c r="M83" i="2" s="1"/>
  <c r="N83" i="2" s="1"/>
  <c r="O83" i="2" s="1"/>
  <c r="P83" i="2" s="1"/>
  <c r="Q83" i="2" s="1"/>
</calcChain>
</file>

<file path=xl/sharedStrings.xml><?xml version="1.0" encoding="utf-8"?>
<sst xmlns="http://schemas.openxmlformats.org/spreadsheetml/2006/main" count="141" uniqueCount="93">
  <si>
    <t>taimet</t>
  </si>
  <si>
    <t>puinti</t>
  </si>
  <si>
    <t>vuosi</t>
  </si>
  <si>
    <t>määrä</t>
  </si>
  <si>
    <t>Rakenteet</t>
  </si>
  <si>
    <t>yksikkö</t>
  </si>
  <si>
    <t>h</t>
  </si>
  <si>
    <t>Pylväät</t>
  </si>
  <si>
    <t>kpl</t>
  </si>
  <si>
    <t>Tolppien pystytys, kaivinkonetyö</t>
  </si>
  <si>
    <t>Tolppien pystytys ihmistyö</t>
  </si>
  <si>
    <t>Kaapeliston asennus, ihmistyö</t>
  </si>
  <si>
    <t>Kaapelit ja ankkurit yms.</t>
  </si>
  <si>
    <t>Maanmuokkaus</t>
  </si>
  <si>
    <t>kalkitus</t>
  </si>
  <si>
    <t>istutustyö</t>
  </si>
  <si>
    <t>puimuri</t>
  </si>
  <si>
    <t>Muut perustamiskulut</t>
  </si>
  <si>
    <t>Lannoitus (NPK 120-12-70)</t>
  </si>
  <si>
    <t>Narut ja muut tarvikkeet</t>
  </si>
  <si>
    <t>Ihmistyö</t>
  </si>
  <si>
    <t>Traktorityö (polttoaine)</t>
  </si>
  <si>
    <t>Kasvuston perustaminen</t>
  </si>
  <si>
    <t>leikkaus ja lastaus</t>
  </si>
  <si>
    <t>kuivaus ja pakkaus</t>
  </si>
  <si>
    <t>kWh</t>
  </si>
  <si>
    <t>lavakuivuri</t>
  </si>
  <si>
    <t>niittokone</t>
  </si>
  <si>
    <t>Parametrit</t>
  </si>
  <si>
    <t>Traktorin polttoainekustannus, €/h</t>
  </si>
  <si>
    <t>Sadonkorjuu ja käsittely</t>
  </si>
  <si>
    <t>Taimien hinta, €/kpl</t>
  </si>
  <si>
    <t>Tuotot</t>
  </si>
  <si>
    <t>pääsato</t>
  </si>
  <si>
    <t>varsisto kuiduksi</t>
  </si>
  <si>
    <t>viljelytuet</t>
  </si>
  <si>
    <t>kg</t>
  </si>
  <si>
    <t>€</t>
  </si>
  <si>
    <t>Koneinvestointien jakaja, ha</t>
  </si>
  <si>
    <t>Humalatarhan perustamisen kustannukset</t>
  </si>
  <si>
    <t>rivivälikasvin siemen (apilanurmi tms)</t>
  </si>
  <si>
    <t>Kasvuston hoito</t>
  </si>
  <si>
    <t>Puimurin ja kuivurin energian kulutus</t>
  </si>
  <si>
    <t>Viljelytuet, €/ha</t>
  </si>
  <si>
    <t>Kasvukauden kustannukset</t>
  </si>
  <si>
    <t>Kasvukauden kustannukset yhteensä</t>
  </si>
  <si>
    <t>Nettotuotto, €/vuosi (nimelliarvo)</t>
  </si>
  <si>
    <t>Nettotuotto, €/vuosi (diskontattu nykyarvo)</t>
  </si>
  <si>
    <t>yht.</t>
  </si>
  <si>
    <t>Erikoiskaluston hankinta</t>
  </si>
  <si>
    <t>Työn kustannus, €/h</t>
  </si>
  <si>
    <t>Humalan tilahinta, €/kg</t>
  </si>
  <si>
    <t>Eurostatin tilastoissa tilahinta on eri EU-maissa 5 - 8 €/kg. Suomessa hinta määräytyne pitkälti viljelysopimusten pohjalta ja voi poiketa paljonkin suurten tuottajamaiden tilastoiduista hinnoista.</t>
  </si>
  <si>
    <t>Laskelman koneinvestoinnit jaetaan tälle pinta-alalle. Se voi olla yhden viljelmän ala tai perustua yhteiskäyttöön tai urakointiin.</t>
  </si>
  <si>
    <t>Perustuki, viherryttämistuki, luonnonhaittakorvaus ja ympäristökorvaus likimain vuoden 2019 tasolla.</t>
  </si>
  <si>
    <t>Vuonna 2019 hinta taimistoilla 8 - 20 €/kpl.</t>
  </si>
  <si>
    <t>syväkuohkeutus (jankkurointi, urakoitsija)</t>
  </si>
  <si>
    <t>tasaus ja muotoilu (äestys, urakoitsija)</t>
  </si>
  <si>
    <t>1000 kg</t>
  </si>
  <si>
    <t>Pylväiden määrä saksalaisen viljelmäsuunnitelman mukaisena, hinta kestopuiselle puhelinpylväälle.</t>
  </si>
  <si>
    <t>Kasvuston tukirakenteiden tarvikekulut saksalaisen viljelmäsuunnitelman mukaisesti deflatoituna vuoden 2007 hintatasosta vuoteen 2019.</t>
  </si>
  <si>
    <t>hinta, €</t>
  </si>
  <si>
    <t>Rakenteiden perustaminen</t>
  </si>
  <si>
    <t>Riviväli 3m, taimiväli 1,5 m.</t>
  </si>
  <si>
    <t>osuusprosentti (=kyseisen vuoden määrä prosentteina vakiintuneen tuotantovaiheen tasosta)</t>
  </si>
  <si>
    <t>Humalan odotettu normaalisato, kg/ha</t>
  </si>
  <si>
    <t>Laskentakorko, %</t>
  </si>
  <si>
    <t>Korkokantaa käytetään muuttamaan eri vuosille kohdistuvat tuotot ja kustannukset vertailukelpoiseksi laskelman ensimmäisen vuoden kanssa. Perustana tulee olla pääoman tuotto vaihtoehtoisessa sijoituskohteessa.</t>
  </si>
  <si>
    <t>Työnmenekit on arvioitu saksalaisen ja yhdysvaltalaisen mallilaskelman pohjalta. Tilakohtainen arvio on laadittava.</t>
  </si>
  <si>
    <t>Ruotsalaisen selvityksen ja puolalaisen jälleenmyyjän tietojen pohjalta arvioitu hinta.</t>
  </si>
  <si>
    <t>Hinta on arvio modifioidusta niittopäästä.</t>
  </si>
  <si>
    <t>Energiankulutus vastaavan viljamäärän kuivaamisen perusteella arvioituna.</t>
  </si>
  <si>
    <t>(=tuottojen ja kustannusten erotus kunakin vuonna)</t>
  </si>
  <si>
    <t>OSA 1:</t>
  </si>
  <si>
    <t>OSA 2:</t>
  </si>
  <si>
    <t>Vuosi 1</t>
  </si>
  <si>
    <t>Perustamiskustannus yhteensä, €</t>
  </si>
  <si>
    <t>OSA 3:</t>
  </si>
  <si>
    <t>OSA 4:</t>
  </si>
  <si>
    <t>OSA 5:</t>
  </si>
  <si>
    <t>Nettotuotto ja nykyarvo</t>
  </si>
  <si>
    <t>muu kone 2</t>
  </si>
  <si>
    <t>muu kone 1</t>
  </si>
  <si>
    <t>Työn osuusprosentti (=ko. vuoden työmäärä prosenttia vakiintuneen tuotantovaiheen tasosta)</t>
  </si>
  <si>
    <t>Viljelijän oma työ ja ostettu palkkatyö hinnoitellaan maataloustyöntekijöiden keskimääräisen tuntipalkan perusteella (vrt. Luken kannattavuuskirjanpito).</t>
  </si>
  <si>
    <t>Satoarvion tulee perustua tilan olosuhteisiin ja viljelytekniikkaan. Sen tulee edustaa niin hyviä kuin heikkojakin satovuosia.</t>
  </si>
  <si>
    <t>Kaluston hankinta yhteensä, €</t>
  </si>
  <si>
    <t>Arvio käytetyn viljan lavakuivurin hankkimisesta ja sovittamisesta humalan kuivaukseen.</t>
  </si>
  <si>
    <t>Kumulatiivinen nykyarvo</t>
  </si>
  <si>
    <t>Kuvaaja: viljelmän perustamisen kumulatiivinen nykyarvo, €/ha</t>
  </si>
  <si>
    <t>Kuvaajan tulkinta: hanke alkaa tuottaa katetta tilan kiinteille tuotannontekijöille (maa, peruskoneet) ja mahdollisesti voittoa sinä vuonna, jolloin nykyarvon kuvaaja leikkaa x-akselin.</t>
  </si>
  <si>
    <t>Nykyarvo y-akselilla, vuosi x-akselilla.</t>
  </si>
  <si>
    <t>Tuotot yhteensä,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</si>
</sst>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i/>
      <sz val="11"/>
      <color theme="1"/>
      <name val="Calibri"/>
      <family val="2"/>
      <scheme val="minor"/>
    </font>
    <font>
      <sz val="11"/>
      <name val="Calibri"/>
      <family val="2"/>
      <scheme val="minor"/>
    </font>
    <font>
      <b/>
      <sz val="14"/>
      <name val="Calibri"/>
      <family val="2"/>
      <scheme val="minor"/>
    </font>
    <font>
      <b/>
      <sz val="12"/>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s>
  <borders count="15">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92">
    <xf numFmtId="0" fontId="0" fillId="0" borderId="0" xfId="0"/>
    <xf numFmtId="0" fontId="1" fillId="0" borderId="0" xfId="0" applyFont="1"/>
    <xf numFmtId="0" fontId="0" fillId="0" borderId="0" xfId="0" applyAlignment="1">
      <alignment horizontal="right"/>
    </xf>
    <xf numFmtId="0" fontId="3" fillId="0" borderId="0" xfId="0" applyFont="1"/>
    <xf numFmtId="1" fontId="0" fillId="0" borderId="0" xfId="0" applyNumberFormat="1"/>
    <xf numFmtId="0" fontId="2" fillId="0" borderId="0" xfId="0" quotePrefix="1" applyFont="1"/>
    <xf numFmtId="0" fontId="2" fillId="0" borderId="0" xfId="0" applyFont="1"/>
    <xf numFmtId="0" fontId="0" fillId="2" borderId="2" xfId="0" applyFill="1" applyBorder="1" applyAlignment="1">
      <alignment horizontal="right"/>
    </xf>
    <xf numFmtId="0" fontId="0" fillId="2" borderId="0" xfId="0" applyFill="1" applyAlignment="1">
      <alignment horizontal="right"/>
    </xf>
    <xf numFmtId="0" fontId="0" fillId="2" borderId="0" xfId="0" applyFill="1"/>
    <xf numFmtId="0" fontId="0" fillId="2" borderId="2" xfId="0" applyFill="1" applyBorder="1"/>
    <xf numFmtId="0" fontId="1" fillId="2" borderId="0" xfId="0" applyFont="1" applyFill="1"/>
    <xf numFmtId="0" fontId="0" fillId="0" borderId="0" xfId="0" applyBorder="1"/>
    <xf numFmtId="2" fontId="0" fillId="2" borderId="0" xfId="0" applyNumberFormat="1" applyFill="1"/>
    <xf numFmtId="1" fontId="0" fillId="2" borderId="0" xfId="0" applyNumberFormat="1" applyFill="1"/>
    <xf numFmtId="0" fontId="3" fillId="2" borderId="0" xfId="0" applyFont="1" applyFill="1" applyBorder="1" applyAlignment="1">
      <alignment horizontal="right"/>
    </xf>
    <xf numFmtId="0" fontId="3" fillId="2" borderId="0" xfId="0" applyFont="1" applyFill="1"/>
    <xf numFmtId="0" fontId="3" fillId="3" borderId="0" xfId="0" applyFont="1" applyFill="1"/>
    <xf numFmtId="0" fontId="0" fillId="3" borderId="0" xfId="0" applyFill="1" applyAlignment="1">
      <alignment horizontal="right"/>
    </xf>
    <xf numFmtId="0" fontId="0" fillId="3" borderId="0" xfId="0" applyFill="1"/>
    <xf numFmtId="0" fontId="1" fillId="3" borderId="0" xfId="0" applyFont="1" applyFill="1"/>
    <xf numFmtId="0" fontId="0" fillId="3" borderId="2" xfId="0" applyFill="1" applyBorder="1" applyAlignment="1">
      <alignment horizontal="right"/>
    </xf>
    <xf numFmtId="0" fontId="0" fillId="3" borderId="2" xfId="0" applyFill="1" applyBorder="1"/>
    <xf numFmtId="0" fontId="1" fillId="3" borderId="0" xfId="0" applyFont="1" applyFill="1" applyBorder="1"/>
    <xf numFmtId="0" fontId="0" fillId="4" borderId="0" xfId="0" applyFill="1" applyAlignment="1">
      <alignment horizontal="right"/>
    </xf>
    <xf numFmtId="0" fontId="0" fillId="4" borderId="0" xfId="0" applyFill="1"/>
    <xf numFmtId="0" fontId="0" fillId="4" borderId="2" xfId="0" applyFill="1" applyBorder="1" applyAlignment="1">
      <alignment horizontal="right"/>
    </xf>
    <xf numFmtId="0" fontId="0" fillId="4" borderId="2" xfId="0" applyFill="1" applyBorder="1"/>
    <xf numFmtId="0" fontId="1" fillId="4" borderId="0" xfId="0" applyFont="1" applyFill="1"/>
    <xf numFmtId="0" fontId="0" fillId="3" borderId="0" xfId="0" applyFill="1" applyAlignment="1">
      <alignment horizontal="left"/>
    </xf>
    <xf numFmtId="0" fontId="0" fillId="3" borderId="2" xfId="0" applyFill="1" applyBorder="1" applyAlignment="1">
      <alignment horizontal="left"/>
    </xf>
    <xf numFmtId="0" fontId="0" fillId="2" borderId="1" xfId="0" applyFill="1" applyBorder="1"/>
    <xf numFmtId="0" fontId="0" fillId="2" borderId="0" xfId="0" applyFill="1" applyBorder="1"/>
    <xf numFmtId="0" fontId="0" fillId="2" borderId="0" xfId="0" applyFill="1" applyBorder="1" applyAlignment="1">
      <alignment horizontal="right"/>
    </xf>
    <xf numFmtId="0" fontId="3" fillId="2" borderId="1" xfId="0" applyFont="1" applyFill="1" applyBorder="1"/>
    <xf numFmtId="0" fontId="0" fillId="0" borderId="6" xfId="0" applyBorder="1"/>
    <xf numFmtId="0" fontId="0" fillId="0" borderId="8" xfId="0" applyBorder="1"/>
    <xf numFmtId="0" fontId="1" fillId="0" borderId="10" xfId="0" applyFont="1" applyBorder="1"/>
    <xf numFmtId="0" fontId="1" fillId="0" borderId="11" xfId="0" applyFont="1" applyBorder="1"/>
    <xf numFmtId="0" fontId="1" fillId="0" borderId="12" xfId="0" applyFont="1" applyBorder="1"/>
    <xf numFmtId="0" fontId="5" fillId="0" borderId="0" xfId="0" applyFont="1" applyBorder="1"/>
    <xf numFmtId="0" fontId="1" fillId="2" borderId="1" xfId="0" applyFont="1" applyFill="1" applyBorder="1"/>
    <xf numFmtId="0" fontId="0" fillId="5" borderId="0" xfId="0" applyFill="1"/>
    <xf numFmtId="0" fontId="0" fillId="5" borderId="2" xfId="0" applyFill="1" applyBorder="1"/>
    <xf numFmtId="0" fontId="0" fillId="3" borderId="0" xfId="0" applyFill="1" applyBorder="1" applyAlignment="1">
      <alignment horizontal="center"/>
    </xf>
    <xf numFmtId="0" fontId="0" fillId="3" borderId="0" xfId="0" applyFill="1" applyBorder="1"/>
    <xf numFmtId="0" fontId="6" fillId="3" borderId="0" xfId="0" applyFont="1" applyFill="1" applyBorder="1"/>
    <xf numFmtId="0" fontId="6" fillId="5" borderId="0" xfId="0" applyFont="1" applyFill="1" applyBorder="1"/>
    <xf numFmtId="0" fontId="6" fillId="4" borderId="0" xfId="0" applyFont="1" applyFill="1" applyBorder="1"/>
    <xf numFmtId="0" fontId="0" fillId="4" borderId="0" xfId="0" applyFill="1" applyBorder="1" applyAlignment="1">
      <alignment horizontal="right"/>
    </xf>
    <xf numFmtId="0" fontId="0" fillId="4" borderId="0" xfId="0" applyFill="1" applyBorder="1"/>
    <xf numFmtId="0" fontId="5" fillId="5" borderId="9" xfId="0" applyFont="1" applyFill="1" applyBorder="1"/>
    <xf numFmtId="0" fontId="5" fillId="0" borderId="1" xfId="0" applyFont="1" applyFill="1" applyBorder="1"/>
    <xf numFmtId="0" fontId="0" fillId="5" borderId="7" xfId="0" applyFill="1" applyBorder="1"/>
    <xf numFmtId="0" fontId="3" fillId="2" borderId="0" xfId="0" applyFont="1" applyFill="1" applyAlignment="1">
      <alignment horizontal="left"/>
    </xf>
    <xf numFmtId="0" fontId="3" fillId="2" borderId="0" xfId="0" applyFont="1" applyFill="1" applyAlignment="1">
      <alignment horizontal="right"/>
    </xf>
    <xf numFmtId="0" fontId="2" fillId="3" borderId="0" xfId="0" applyFont="1" applyFill="1"/>
    <xf numFmtId="2" fontId="0" fillId="2" borderId="0" xfId="0" applyNumberFormat="1" applyFill="1" applyBorder="1"/>
    <xf numFmtId="0" fontId="0" fillId="5" borderId="0" xfId="0" applyFill="1" applyBorder="1"/>
    <xf numFmtId="2" fontId="0" fillId="5" borderId="0" xfId="0" applyNumberFormat="1" applyFill="1"/>
    <xf numFmtId="2" fontId="0" fillId="5" borderId="2" xfId="0" applyNumberFormat="1" applyFill="1" applyBorder="1"/>
    <xf numFmtId="0" fontId="7" fillId="3" borderId="0" xfId="0" applyFont="1" applyFill="1"/>
    <xf numFmtId="0" fontId="3" fillId="6" borderId="0" xfId="0" applyFont="1" applyFill="1"/>
    <xf numFmtId="0" fontId="0" fillId="6" borderId="4" xfId="0" applyFill="1" applyBorder="1" applyAlignment="1">
      <alignment horizontal="right"/>
    </xf>
    <xf numFmtId="0" fontId="0" fillId="6" borderId="4" xfId="0" applyFill="1" applyBorder="1"/>
    <xf numFmtId="0" fontId="0" fillId="6" borderId="8" xfId="0" applyFill="1" applyBorder="1"/>
    <xf numFmtId="0" fontId="0" fillId="6" borderId="0" xfId="0" applyFill="1" applyBorder="1" applyAlignment="1">
      <alignment horizontal="right"/>
    </xf>
    <xf numFmtId="0" fontId="0" fillId="6" borderId="0" xfId="0" applyFill="1" applyBorder="1"/>
    <xf numFmtId="1" fontId="0" fillId="6" borderId="0" xfId="0" applyNumberFormat="1" applyFill="1" applyBorder="1"/>
    <xf numFmtId="1" fontId="0" fillId="6" borderId="9" xfId="0" applyNumberFormat="1" applyFill="1" applyBorder="1"/>
    <xf numFmtId="0" fontId="0" fillId="6" borderId="9" xfId="0" applyFill="1" applyBorder="1"/>
    <xf numFmtId="0" fontId="4" fillId="6" borderId="1" xfId="0" applyFont="1" applyFill="1" applyBorder="1"/>
    <xf numFmtId="0" fontId="3" fillId="6" borderId="3" xfId="0" applyFont="1" applyFill="1" applyBorder="1"/>
    <xf numFmtId="0" fontId="1" fillId="2" borderId="0" xfId="0" applyFont="1" applyFill="1" applyBorder="1"/>
    <xf numFmtId="0" fontId="1" fillId="3" borderId="2" xfId="0" applyFont="1" applyFill="1" applyBorder="1"/>
    <xf numFmtId="0" fontId="0" fillId="3" borderId="2" xfId="0" applyFill="1" applyBorder="1" applyAlignment="1">
      <alignment horizontal="center"/>
    </xf>
    <xf numFmtId="0" fontId="3" fillId="4" borderId="0" xfId="0" applyFont="1" applyFill="1" applyBorder="1"/>
    <xf numFmtId="0" fontId="0" fillId="6" borderId="13" xfId="0" applyFill="1" applyBorder="1"/>
    <xf numFmtId="0" fontId="0" fillId="6" borderId="2" xfId="0" applyFill="1" applyBorder="1" applyAlignment="1">
      <alignment horizontal="right"/>
    </xf>
    <xf numFmtId="0" fontId="0" fillId="6" borderId="2" xfId="0" applyFill="1" applyBorder="1"/>
    <xf numFmtId="0" fontId="1" fillId="6" borderId="2" xfId="0" applyFont="1" applyFill="1" applyBorder="1"/>
    <xf numFmtId="0" fontId="1" fillId="6" borderId="14" xfId="0" applyFont="1" applyFill="1" applyBorder="1"/>
    <xf numFmtId="0" fontId="8" fillId="6" borderId="6" xfId="0" applyFont="1" applyFill="1" applyBorder="1"/>
    <xf numFmtId="1" fontId="9" fillId="6" borderId="1" xfId="0" applyNumberFormat="1" applyFont="1" applyFill="1" applyBorder="1"/>
    <xf numFmtId="1" fontId="9" fillId="6" borderId="7" xfId="0" applyNumberFormat="1" applyFont="1" applyFill="1" applyBorder="1"/>
    <xf numFmtId="0" fontId="0" fillId="4" borderId="2" xfId="0"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xf numFmtId="0" fontId="1" fillId="2" borderId="0" xfId="0" applyFont="1" applyFill="1" applyBorder="1" applyAlignment="1">
      <alignment horizontal="center"/>
    </xf>
    <xf numFmtId="0" fontId="1" fillId="3" borderId="0" xfId="0" applyFont="1" applyFill="1" applyBorder="1" applyAlignment="1">
      <alignment horizontal="center"/>
    </xf>
    <xf numFmtId="0" fontId="1" fillId="0" borderId="0" xfId="0" applyFont="1" applyAlignment="1">
      <alignment horizontal="center"/>
    </xf>
    <xf numFmtId="0" fontId="0" fillId="4" borderId="0" xfId="0" applyFill="1" applyAlignment="1">
      <alignment horizontal="center"/>
    </xf>
  </cellXfs>
  <cellStyles count="1">
    <cellStyle name="Normaali"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12273840769903763"/>
          <c:y val="0.12479807329585896"/>
          <c:w val="0.82172286874930378"/>
          <c:h val="0.82843103928553596"/>
        </c:manualLayout>
      </c:layout>
      <c:lineChart>
        <c:grouping val="standard"/>
        <c:varyColors val="0"/>
        <c:ser>
          <c:idx val="1"/>
          <c:order val="0"/>
          <c:tx>
            <c:strRef>
              <c:f>Nykyarvolaskelma!$S$83</c:f>
              <c:strCache>
                <c:ptCount val="1"/>
              </c:strCache>
            </c:strRef>
          </c:tx>
          <c:spPr>
            <a:ln w="63500"/>
          </c:spPr>
          <c:marker>
            <c:symbol val="none"/>
          </c:marker>
          <c:cat>
            <c:numRef>
              <c:f>Nykyarvolaskelma!$H$80:$Q$80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Nykyarvolaskelma!$H$83:$Q$83</c:f>
              <c:numCache>
                <c:formatCode>0</c:formatCode>
                <c:ptCount val="10"/>
                <c:pt idx="0">
                  <c:v>-23636</c:v>
                </c:pt>
                <c:pt idx="1">
                  <c:v>-27346.576923076922</c:v>
                </c:pt>
                <c:pt idx="2">
                  <c:v>-43358.657790927013</c:v>
                </c:pt>
                <c:pt idx="3">
                  <c:v>-51050.25428614777</c:v>
                </c:pt>
                <c:pt idx="4">
                  <c:v>-58446.020146936957</c:v>
                </c:pt>
                <c:pt idx="5">
                  <c:v>-65557.333474618863</c:v>
                </c:pt>
                <c:pt idx="6">
                  <c:v>-72395.134751236081</c:v>
                </c:pt>
                <c:pt idx="7">
                  <c:v>-78969.943671060333</c:v>
                </c:pt>
                <c:pt idx="8">
                  <c:v>-85291.875324737499</c:v>
                </c:pt>
                <c:pt idx="9">
                  <c:v>-91370.655760965543</c:v>
                </c:pt>
              </c:numCache>
            </c:numRef>
          </c:val>
          <c:smooth val="0"/>
        </c:ser>
        <c:dLbls>
          <c:showLegendKey val="0"/>
          <c:showVal val="0"/>
          <c:showCatName val="0"/>
          <c:showSerName val="0"/>
          <c:showPercent val="0"/>
          <c:showBubbleSize val="0"/>
        </c:dLbls>
        <c:marker val="1"/>
        <c:smooth val="0"/>
        <c:axId val="83869056"/>
        <c:axId val="111826048"/>
      </c:lineChart>
      <c:catAx>
        <c:axId val="83869056"/>
        <c:scaling>
          <c:orientation val="minMax"/>
        </c:scaling>
        <c:delete val="0"/>
        <c:axPos val="b"/>
        <c:numFmt formatCode="General" sourceLinked="1"/>
        <c:majorTickMark val="out"/>
        <c:minorTickMark val="none"/>
        <c:tickLblPos val="nextTo"/>
        <c:txPr>
          <a:bodyPr/>
          <a:lstStyle/>
          <a:p>
            <a:pPr>
              <a:defRPr sz="1400"/>
            </a:pPr>
            <a:endParaRPr lang="fi-FI"/>
          </a:p>
        </c:txPr>
        <c:crossAx val="111826048"/>
        <c:crosses val="autoZero"/>
        <c:auto val="1"/>
        <c:lblAlgn val="ctr"/>
        <c:lblOffset val="100"/>
        <c:noMultiLvlLbl val="0"/>
      </c:catAx>
      <c:valAx>
        <c:axId val="111826048"/>
        <c:scaling>
          <c:orientation val="minMax"/>
        </c:scaling>
        <c:delete val="0"/>
        <c:axPos val="l"/>
        <c:majorGridlines/>
        <c:numFmt formatCode="0" sourceLinked="1"/>
        <c:majorTickMark val="out"/>
        <c:minorTickMark val="none"/>
        <c:tickLblPos val="nextTo"/>
        <c:txPr>
          <a:bodyPr/>
          <a:lstStyle/>
          <a:p>
            <a:pPr>
              <a:defRPr sz="1400"/>
            </a:pPr>
            <a:endParaRPr lang="fi-FI"/>
          </a:p>
        </c:txPr>
        <c:crossAx val="8386905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389466</xdr:colOff>
      <xdr:row>90</xdr:row>
      <xdr:rowOff>87840</xdr:rowOff>
    </xdr:from>
    <xdr:to>
      <xdr:col>8</xdr:col>
      <xdr:colOff>384174</xdr:colOff>
      <xdr:row>107</xdr:row>
      <xdr:rowOff>173566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94192</xdr:colOff>
      <xdr:row>1</xdr:row>
      <xdr:rowOff>103718</xdr:rowOff>
    </xdr:from>
    <xdr:to>
      <xdr:col>17</xdr:col>
      <xdr:colOff>542925</xdr:colOff>
      <xdr:row>1</xdr:row>
      <xdr:rowOff>4952999</xdr:rowOff>
    </xdr:to>
    <xdr:sp macro="" textlink="">
      <xdr:nvSpPr>
        <xdr:cNvPr id="3" name="TextBox 2"/>
        <xdr:cNvSpPr txBox="1"/>
      </xdr:nvSpPr>
      <xdr:spPr>
        <a:xfrm>
          <a:off x="379942" y="294218"/>
          <a:ext cx="13602758" cy="4849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0" u="none" strike="noStrike">
              <a:solidFill>
                <a:schemeClr val="dk1"/>
              </a:solidFill>
              <a:effectLst/>
              <a:latin typeface="+mn-lt"/>
              <a:ea typeface="+mn-ea"/>
              <a:cs typeface="+mn-cs"/>
            </a:rPr>
            <a:t>Laskelma humalaviljelmän perustamisen ja viljelyn kustannuksista ja tuotoista</a:t>
          </a:r>
          <a:r>
            <a:rPr lang="fi-FI" sz="1400" b="1"/>
            <a:t> </a:t>
          </a:r>
        </a:p>
        <a:p>
          <a:endParaRPr lang="fi-FI"/>
        </a:p>
        <a:p>
          <a:r>
            <a:rPr lang="fi-FI"/>
            <a:t>Laskelmapohjan on laatinut tutkija Heikki Mäkinen Luonnonvarakeskuksesta PolarHops-tutkimusprojektissa. </a:t>
          </a:r>
          <a:r>
            <a:rPr lang="fi-FI" b="1" u="sng"/>
            <a:t>Tekijä ei vastaa laskelman lähtötietojen eikä lopputuloksen oikeellisuudesta. Laskelman käyttäjän tulee ymmärtää, että kyseessä on ennen kaikkea apuväline viljelmän tietotarpeiden ja suunnittelun jäsentämiseen tilanteessa, jossa humalan viljelyn aloittamista harkitaan.</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Laskelmapohja  sisältää paljon</a:t>
          </a:r>
          <a:r>
            <a:rPr lang="fi-FI" sz="1100" b="0" i="0" u="none" strike="noStrike" baseline="0">
              <a:solidFill>
                <a:schemeClr val="dk1"/>
              </a:solidFill>
              <a:effectLst/>
              <a:latin typeface="+mn-lt"/>
              <a:ea typeface="+mn-ea"/>
              <a:cs typeface="+mn-cs"/>
            </a:rPr>
            <a:t> arvionvaraisia hinta- ja määrätietoja, jotka on korvattava laskelmaa käytettäessä tilakohtaisilla tiedoilla tai arvioilla. Samalla on huomioitava, että </a:t>
          </a:r>
          <a:r>
            <a:rPr lang="fi-FI" sz="1100" b="1" i="0" u="none" strike="noStrike" baseline="0">
              <a:solidFill>
                <a:schemeClr val="dk1"/>
              </a:solidFill>
              <a:effectLst/>
              <a:latin typeface="+mn-lt"/>
              <a:ea typeface="+mn-ea"/>
              <a:cs typeface="+mn-cs"/>
            </a:rPr>
            <a:t>laskelman lopputulos on korkeintaan niin luotettava kuin sen käyttäjän antamat laskentatiedot</a:t>
          </a:r>
          <a:r>
            <a:rPr lang="fi-FI" sz="1100" b="0" i="0" u="none" strike="noStrike" baseline="0">
              <a:solidFill>
                <a:schemeClr val="dk1"/>
              </a:solidFill>
              <a:effectLst/>
              <a:latin typeface="+mn-lt"/>
              <a:ea typeface="+mn-ea"/>
              <a:cs typeface="+mn-cs"/>
            </a:rPr>
            <a:t>.</a:t>
          </a:r>
        </a:p>
        <a:p>
          <a:endParaRPr lang="fi-FI" sz="1100" b="0"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i-FI" sz="1100" b="1" i="0">
              <a:solidFill>
                <a:schemeClr val="dk1"/>
              </a:solidFill>
              <a:effectLst/>
              <a:latin typeface="+mn-lt"/>
              <a:ea typeface="+mn-ea"/>
              <a:cs typeface="+mn-cs"/>
            </a:rPr>
            <a:t>Laskelmassa tilan tuote on kuivattu käpy. Mahdolliset pakkauksen ja pelletöinnin sekä kuljetuksen vaatimat investoinnit ja työvaiheet on jätetty pois.</a:t>
          </a:r>
          <a:r>
            <a:rPr lang="fi-FI" sz="1100" b="1" i="0" baseline="0">
              <a:solidFill>
                <a:schemeClr val="dk1"/>
              </a:solidFill>
              <a:effectLst/>
              <a:latin typeface="+mn-lt"/>
              <a:ea typeface="+mn-ea"/>
              <a:cs typeface="+mn-cs"/>
            </a:rPr>
            <a:t> Tämä tulee ottaa huomioon erityisesti sadon määrää ja kilohintaa arvioitaessa.</a:t>
          </a:r>
          <a:endParaRPr lang="fi-FI">
            <a:effectLst/>
          </a:endParaRPr>
        </a:p>
        <a:p>
          <a:endParaRPr lang="fi-FI" sz="1100" b="0" i="0" u="none" strike="noStrike" baseline="0">
            <a:solidFill>
              <a:schemeClr val="dk1"/>
            </a:solidFill>
            <a:effectLst/>
            <a:latin typeface="+mn-lt"/>
            <a:ea typeface="+mn-ea"/>
            <a:cs typeface="+mn-cs"/>
          </a:endParaRPr>
        </a:p>
        <a:p>
          <a:r>
            <a:rPr lang="fi-FI" sz="1100" b="1" i="0" u="none" strike="noStrike" baseline="0">
              <a:solidFill>
                <a:schemeClr val="dk1"/>
              </a:solidFill>
              <a:effectLst/>
              <a:latin typeface="+mn-lt"/>
              <a:ea typeface="+mn-ea"/>
              <a:cs typeface="+mn-cs"/>
            </a:rPr>
            <a:t>Tilakohtaiset tiedot/arviot hinnoista ja määristä syötetään taulukon keltaisiin soluihin.</a:t>
          </a:r>
          <a:endParaRPr lang="fi-FI" sz="1100" b="1"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Laskelman aikajänne  on 10 vuotta ja viljelyala</a:t>
          </a:r>
          <a:r>
            <a:rPr lang="fi-FI" sz="1100" b="0" i="0" u="none" strike="noStrike" baseline="0">
              <a:solidFill>
                <a:schemeClr val="dk1"/>
              </a:solidFill>
              <a:effectLst/>
              <a:latin typeface="+mn-lt"/>
              <a:ea typeface="+mn-ea"/>
              <a:cs typeface="+mn-cs"/>
            </a:rPr>
            <a:t> yksi hehtaari</a:t>
          </a:r>
          <a:r>
            <a:rPr lang="fi-FI" sz="1100" b="0" i="0" u="none" strike="noStrike">
              <a:solidFill>
                <a:schemeClr val="dk1"/>
              </a:solidFill>
              <a:effectLst/>
              <a:latin typeface="+mn-lt"/>
              <a:ea typeface="+mn-ea"/>
              <a:cs typeface="+mn-cs"/>
            </a:rPr>
            <a:t>. Ensin määritetään kustannukset tarhan perustamiselle ja tarvittaville</a:t>
          </a:r>
          <a:r>
            <a:rPr lang="fi-FI" sz="1100" b="0" i="0" u="none" strike="noStrike" baseline="0">
              <a:solidFill>
                <a:schemeClr val="dk1"/>
              </a:solidFill>
              <a:effectLst/>
              <a:latin typeface="+mn-lt"/>
              <a:ea typeface="+mn-ea"/>
              <a:cs typeface="+mn-cs"/>
            </a:rPr>
            <a:t> erikoiskoneille. Tilalla oletetaan olevan maatalousmaata sekä tavanomaiset peruskoneet joka tapauksessa muuta viljelyä varten, jolloin niiden hankintakustannuksia ei tarvitse huomioida erikseen humalanviljelyn osalta. Mikäli suunnitellussa tuotannossa kuitenkin tarvitaan muita koneinvestointeja, ne tulee lisätä omille riveilleen laskelman toisessa osassa. Mahdollinen kastelulaitteisto tulee lisätä tähän.</a:t>
          </a:r>
        </a:p>
        <a:p>
          <a:endParaRPr lang="fi-FI" sz="1100" b="0" i="0" u="none" strike="noStrike" baseline="0">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Ensimmäisenä vuonna kunnostetaan viljelymaa, perustetaan tukirakenteet ja istutetaan taimet.</a:t>
          </a:r>
          <a:r>
            <a:rPr lang="fi-FI"/>
            <a:t> </a:t>
          </a:r>
          <a:r>
            <a:rPr lang="fi-FI" sz="1100" b="0" i="0" u="none" strike="noStrike">
              <a:solidFill>
                <a:schemeClr val="dk1"/>
              </a:solidFill>
              <a:effectLst/>
              <a:latin typeface="+mn-lt"/>
              <a:ea typeface="+mn-ea"/>
              <a:cs typeface="+mn-cs"/>
            </a:rPr>
            <a:t>Toisena vuonna hoidetaan kasvustoa ilman sadon tuottamista.</a:t>
          </a:r>
          <a:r>
            <a:rPr lang="fi-FI"/>
            <a:t> </a:t>
          </a:r>
          <a:r>
            <a:rPr lang="fi-FI" sz="1100" b="0" i="0" u="none" strike="noStrike">
              <a:solidFill>
                <a:schemeClr val="dk1"/>
              </a:solidFill>
              <a:effectLst/>
              <a:latin typeface="+mn-lt"/>
              <a:ea typeface="+mn-ea"/>
              <a:cs typeface="+mn-cs"/>
            </a:rPr>
            <a:t>Kolmantena vuonna investoidaan korjuu- ja kuivauskalustoon ja saadaan ensimmäinen sato, joka on  kuitenkin alempi kuin odotettu normaalisato.</a:t>
          </a:r>
          <a:r>
            <a:rPr lang="fi-FI"/>
            <a:t> </a:t>
          </a:r>
          <a:r>
            <a:rPr lang="fi-FI" sz="1100" b="0" i="0" u="none" strike="noStrike">
              <a:solidFill>
                <a:schemeClr val="dk1"/>
              </a:solidFill>
              <a:effectLst/>
              <a:latin typeface="+mn-lt"/>
              <a:ea typeface="+mn-ea"/>
              <a:cs typeface="+mn-cs"/>
            </a:rPr>
            <a:t>Neljännestä vuodesta alkaen odotetaan saatavan normaalisato.</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Laskelman osassa  viisi määritetään vuosittainen  nettotuotto vähentämällä kunkin vuoden tuotoista</a:t>
          </a:r>
          <a:r>
            <a:rPr lang="fi-FI" sz="1100" b="0" i="0" u="none" strike="noStrike" baseline="0">
              <a:solidFill>
                <a:schemeClr val="dk1"/>
              </a:solidFill>
              <a:effectLst/>
              <a:latin typeface="+mn-lt"/>
              <a:ea typeface="+mn-ea"/>
              <a:cs typeface="+mn-cs"/>
            </a:rPr>
            <a:t> kyseisen vuoden kustannukset. Nettotuoton nykyarvo saadaan diskonttaamalla nettotuotto viljelmän perustamisvuoteen laskentakorkokantaa käyttämällä.  Kumulatiivinen nykyarvo puolestaan osoittaa kuhunkin vuoteen mennessä kertyneiden nykyarvojen summan. </a:t>
          </a:r>
          <a:r>
            <a:rPr lang="fi-FI" sz="1100" b="1" i="0" u="none" strike="noStrike" baseline="0">
              <a:solidFill>
                <a:schemeClr val="dk1"/>
              </a:solidFill>
              <a:effectLst/>
              <a:latin typeface="+mn-lt"/>
              <a:ea typeface="+mn-ea"/>
              <a:cs typeface="+mn-cs"/>
            </a:rPr>
            <a:t>Kun kumulatiivinen nykyarvo on kasvanut positiiviseksi,  on alkuvaiheen perustamis- ja investointikustannukset saatu katettua ja viljelmä alkaa tuottaa katetta myös tilan muulle kiinteälle tuotantovälineistölle (maa, peruskoneet) sekä mahdollisesti voittoa.</a:t>
          </a:r>
        </a:p>
        <a:p>
          <a:endParaRPr lang="fi-FI" sz="1100" b="1" i="0" u="none" strike="noStrike" baseline="0">
            <a:solidFill>
              <a:schemeClr val="dk1"/>
            </a:solidFill>
            <a:effectLst/>
            <a:latin typeface="+mn-lt"/>
            <a:ea typeface="+mn-ea"/>
            <a:cs typeface="+mn-cs"/>
          </a:endParaRPr>
        </a:p>
        <a:p>
          <a:r>
            <a:rPr lang="fi-FI" sz="1100" b="0" i="1" u="none" strike="noStrike" baseline="0">
              <a:solidFill>
                <a:schemeClr val="dk1"/>
              </a:solidFill>
              <a:effectLst/>
              <a:latin typeface="+mn-lt"/>
              <a:ea typeface="+mn-ea"/>
              <a:cs typeface="+mn-cs"/>
            </a:rPr>
            <a:t>(Laskelman aikajännettä voi periaatteessa pidentää esim. 15 vuoteen  jatkamalla  osien 3 - 5 kaavoja riveittäin eteenpäin, mutta etenkin hintoihin liittyvät epävarmuudet korostuvat tällöin vahvasti, sillä  toimintaympäristö muuttuu. Myös mahdolliset rakenteiden ja koneiden uusintainvestoinnit tulee ajanjaksoa pidennettäessä ottaa huomioon.)</a:t>
          </a:r>
        </a:p>
        <a:p>
          <a:endParaRPr lang="fi-FI" sz="1100" b="0" i="1" u="none" strike="noStrike" baseline="0">
            <a:solidFill>
              <a:schemeClr val="dk1"/>
            </a:solidFill>
            <a:effectLst/>
            <a:latin typeface="+mn-lt"/>
            <a:ea typeface="+mn-ea"/>
            <a:cs typeface="+mn-cs"/>
          </a:endParaRPr>
        </a:p>
        <a:p>
          <a:r>
            <a:rPr lang="fi-FI" sz="1100" b="0" i="1" u="none" strike="noStrike" baseline="0">
              <a:solidFill>
                <a:schemeClr val="dk1"/>
              </a:solidFill>
              <a:effectLst/>
              <a:latin typeface="+mn-lt"/>
              <a:ea typeface="+mn-ea"/>
              <a:cs typeface="+mn-cs"/>
            </a:rPr>
            <a:t>Laskelmataulukko on suojattu muiden kuin keltaisten solujen osalta vahingossa tapahtuvan muokkaamisen estämiseksi. Suojauksen poiston salasana on "hops". Käyttäjän tulee tietää, mitä tekee!</a:t>
          </a:r>
        </a:p>
        <a:p>
          <a:endParaRPr lang="fi-FI" sz="1100" b="0" i="1" u="none" strike="noStrike" baseline="0">
            <a:solidFill>
              <a:schemeClr val="dk1"/>
            </a:solidFill>
            <a:effectLst/>
            <a:latin typeface="+mn-lt"/>
            <a:ea typeface="+mn-ea"/>
            <a:cs typeface="+mn-cs"/>
          </a:endParaRPr>
        </a:p>
        <a:p>
          <a:endParaRPr lang="fi-FI" sz="1100" b="0" i="0" u="none" strike="noStrike" baseline="0">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89"/>
  <sheetViews>
    <sheetView showGridLines="0" showRowColHeaders="0" tabSelected="1" zoomScaleNormal="100" workbookViewId="0">
      <selection activeCell="F9" sqref="F9"/>
    </sheetView>
  </sheetViews>
  <sheetFormatPr defaultRowHeight="14.4" x14ac:dyDescent="0.3"/>
  <cols>
    <col min="1" max="1" width="4.33203125" customWidth="1"/>
    <col min="3" max="3" width="53.33203125" customWidth="1"/>
    <col min="4" max="4" width="10.109375" customWidth="1"/>
    <col min="7" max="7" width="12" customWidth="1"/>
    <col min="8" max="8" width="11.109375" customWidth="1"/>
    <col min="9" max="9" width="10.109375" bestFit="1" customWidth="1"/>
    <col min="19" max="19" width="3.5546875" customWidth="1"/>
  </cols>
  <sheetData>
    <row r="2" spans="2:17" ht="409.5" customHeight="1" x14ac:dyDescent="0.25"/>
    <row r="3" spans="2:17" ht="15.75" thickBot="1" x14ac:dyDescent="0.3"/>
    <row r="4" spans="2:17" x14ac:dyDescent="0.3">
      <c r="B4" s="37" t="s">
        <v>28</v>
      </c>
      <c r="C4" s="38"/>
      <c r="D4" s="39"/>
    </row>
    <row r="5" spans="2:17" ht="15.6" x14ac:dyDescent="0.3">
      <c r="B5" s="36"/>
      <c r="C5" s="40" t="s">
        <v>66</v>
      </c>
      <c r="D5" s="51">
        <v>4</v>
      </c>
      <c r="F5" t="s">
        <v>67</v>
      </c>
    </row>
    <row r="6" spans="2:17" ht="15.6" x14ac:dyDescent="0.3">
      <c r="B6" s="36"/>
      <c r="C6" s="40" t="s">
        <v>50</v>
      </c>
      <c r="D6" s="51">
        <v>16</v>
      </c>
      <c r="F6" t="s">
        <v>84</v>
      </c>
    </row>
    <row r="7" spans="2:17" ht="15.6" x14ac:dyDescent="0.3">
      <c r="B7" s="36"/>
      <c r="C7" s="40" t="s">
        <v>29</v>
      </c>
      <c r="D7" s="51">
        <v>8</v>
      </c>
    </row>
    <row r="8" spans="2:17" ht="15.6" x14ac:dyDescent="0.3">
      <c r="B8" s="36"/>
      <c r="C8" s="40" t="s">
        <v>51</v>
      </c>
      <c r="D8" s="51">
        <v>0</v>
      </c>
      <c r="F8" t="s">
        <v>52</v>
      </c>
    </row>
    <row r="9" spans="2:17" ht="15.6" x14ac:dyDescent="0.3">
      <c r="B9" s="36"/>
      <c r="C9" s="40" t="s">
        <v>31</v>
      </c>
      <c r="D9" s="51">
        <v>0</v>
      </c>
      <c r="F9" t="s">
        <v>55</v>
      </c>
    </row>
    <row r="10" spans="2:17" ht="15.6" x14ac:dyDescent="0.3">
      <c r="B10" s="36"/>
      <c r="C10" s="40" t="s">
        <v>38</v>
      </c>
      <c r="D10" s="51">
        <v>3</v>
      </c>
      <c r="F10" t="s">
        <v>53</v>
      </c>
    </row>
    <row r="11" spans="2:17" ht="15.6" x14ac:dyDescent="0.3">
      <c r="B11" s="36"/>
      <c r="C11" s="40" t="s">
        <v>43</v>
      </c>
      <c r="D11" s="51">
        <v>500</v>
      </c>
      <c r="F11" t="s">
        <v>54</v>
      </c>
    </row>
    <row r="12" spans="2:17" ht="16.2" thickBot="1" x14ac:dyDescent="0.35">
      <c r="B12" s="35"/>
      <c r="C12" s="52" t="s">
        <v>65</v>
      </c>
      <c r="D12" s="53">
        <v>800</v>
      </c>
      <c r="F12" t="s">
        <v>85</v>
      </c>
    </row>
    <row r="13" spans="2:17" x14ac:dyDescent="0.3">
      <c r="H13" s="90"/>
      <c r="I13" s="90"/>
      <c r="J13" s="90"/>
      <c r="K13" s="90"/>
      <c r="L13" s="90"/>
      <c r="M13" s="90"/>
      <c r="N13" s="90"/>
      <c r="O13" s="90"/>
      <c r="P13" s="90"/>
      <c r="Q13" s="90"/>
    </row>
    <row r="14" spans="2:17" ht="18.600000000000001" thickBot="1" x14ac:dyDescent="0.4">
      <c r="B14" s="34" t="s">
        <v>73</v>
      </c>
      <c r="C14" s="34" t="s">
        <v>39</v>
      </c>
      <c r="D14" s="34"/>
      <c r="E14" s="34"/>
      <c r="F14" s="34"/>
      <c r="G14" s="34"/>
      <c r="H14" s="34" t="s">
        <v>75</v>
      </c>
    </row>
    <row r="15" spans="2:17" ht="40.5" customHeight="1" x14ac:dyDescent="0.3">
      <c r="C15" s="73" t="s">
        <v>13</v>
      </c>
      <c r="D15" s="7" t="s">
        <v>5</v>
      </c>
      <c r="E15" s="7" t="s">
        <v>3</v>
      </c>
      <c r="F15" s="7" t="s">
        <v>61</v>
      </c>
      <c r="G15" s="7"/>
      <c r="H15" s="7" t="s">
        <v>48</v>
      </c>
    </row>
    <row r="16" spans="2:17" x14ac:dyDescent="0.3">
      <c r="C16" s="8" t="s">
        <v>56</v>
      </c>
      <c r="D16" s="8" t="s">
        <v>6</v>
      </c>
      <c r="E16" s="42">
        <v>2</v>
      </c>
      <c r="F16" s="42">
        <v>80</v>
      </c>
      <c r="G16" s="9"/>
      <c r="H16" s="9">
        <f>+F16*E16</f>
        <v>160</v>
      </c>
    </row>
    <row r="17" spans="3:10" x14ac:dyDescent="0.3">
      <c r="C17" s="8" t="s">
        <v>57</v>
      </c>
      <c r="D17" s="8" t="s">
        <v>6</v>
      </c>
      <c r="E17" s="42">
        <v>2</v>
      </c>
      <c r="F17" s="42">
        <v>70</v>
      </c>
      <c r="G17" s="9"/>
      <c r="H17" s="9">
        <f>+F17*E17</f>
        <v>140</v>
      </c>
    </row>
    <row r="18" spans="3:10" x14ac:dyDescent="0.3">
      <c r="C18" s="7" t="s">
        <v>14</v>
      </c>
      <c r="D18" s="7" t="s">
        <v>58</v>
      </c>
      <c r="E18" s="43">
        <v>4</v>
      </c>
      <c r="F18" s="43">
        <v>50</v>
      </c>
      <c r="G18" s="10"/>
      <c r="H18" s="10">
        <f>+F18*E18</f>
        <v>200</v>
      </c>
    </row>
    <row r="19" spans="3:10" x14ac:dyDescent="0.3">
      <c r="C19" s="8"/>
      <c r="D19" s="8"/>
      <c r="E19" s="9"/>
      <c r="F19" s="9"/>
      <c r="G19" s="9"/>
      <c r="H19" s="11">
        <f>SUM(H16:H18)</f>
        <v>500</v>
      </c>
    </row>
    <row r="20" spans="3:10" ht="46.5" customHeight="1" x14ac:dyDescent="0.3">
      <c r="C20" s="73" t="s">
        <v>4</v>
      </c>
      <c r="D20" s="7" t="s">
        <v>5</v>
      </c>
      <c r="E20" s="7" t="s">
        <v>3</v>
      </c>
      <c r="F20" s="7" t="s">
        <v>61</v>
      </c>
      <c r="G20" s="10"/>
      <c r="H20" s="10"/>
    </row>
    <row r="21" spans="3:10" x14ac:dyDescent="0.3">
      <c r="C21" s="8" t="s">
        <v>7</v>
      </c>
      <c r="D21" s="8" t="s">
        <v>8</v>
      </c>
      <c r="E21" s="42">
        <v>110</v>
      </c>
      <c r="F21" s="42">
        <v>90</v>
      </c>
      <c r="G21" s="9"/>
      <c r="H21" s="9">
        <f t="shared" ref="H21:H22" si="0">+F21*E21</f>
        <v>9900</v>
      </c>
      <c r="J21" t="s">
        <v>59</v>
      </c>
    </row>
    <row r="22" spans="3:10" x14ac:dyDescent="0.3">
      <c r="C22" s="7" t="s">
        <v>12</v>
      </c>
      <c r="D22" s="7"/>
      <c r="E22" s="10">
        <v>1</v>
      </c>
      <c r="F22" s="43">
        <v>5600</v>
      </c>
      <c r="G22" s="10"/>
      <c r="H22" s="10">
        <f t="shared" si="0"/>
        <v>5600</v>
      </c>
      <c r="J22" t="s">
        <v>60</v>
      </c>
    </row>
    <row r="23" spans="3:10" x14ac:dyDescent="0.3">
      <c r="C23" s="8"/>
      <c r="D23" s="8"/>
      <c r="E23" s="9"/>
      <c r="F23" s="9"/>
      <c r="G23" s="9"/>
      <c r="H23" s="11">
        <f>SUM(H21:H22)</f>
        <v>15500</v>
      </c>
    </row>
    <row r="24" spans="3:10" ht="43.5" customHeight="1" x14ac:dyDescent="0.3">
      <c r="C24" s="11" t="s">
        <v>62</v>
      </c>
      <c r="D24" s="7" t="s">
        <v>5</v>
      </c>
      <c r="E24" s="7" t="s">
        <v>3</v>
      </c>
      <c r="F24" s="7" t="s">
        <v>61</v>
      </c>
      <c r="G24" s="9"/>
      <c r="H24" s="9"/>
    </row>
    <row r="25" spans="3:10" x14ac:dyDescent="0.3">
      <c r="C25" s="8" t="s">
        <v>9</v>
      </c>
      <c r="D25" s="8" t="s">
        <v>6</v>
      </c>
      <c r="E25" s="42">
        <v>8</v>
      </c>
      <c r="F25" s="42">
        <v>50</v>
      </c>
      <c r="G25" s="9"/>
      <c r="H25" s="9">
        <f t="shared" ref="H25:H29" si="1">+F25*E25</f>
        <v>400</v>
      </c>
      <c r="J25" t="s">
        <v>68</v>
      </c>
    </row>
    <row r="26" spans="3:10" x14ac:dyDescent="0.3">
      <c r="C26" s="8" t="s">
        <v>10</v>
      </c>
      <c r="D26" s="8" t="s">
        <v>6</v>
      </c>
      <c r="E26" s="42">
        <v>16</v>
      </c>
      <c r="F26" s="9">
        <f>palkka</f>
        <v>16</v>
      </c>
      <c r="G26" s="9"/>
      <c r="H26" s="9">
        <f t="shared" si="1"/>
        <v>256</v>
      </c>
    </row>
    <row r="27" spans="3:10" x14ac:dyDescent="0.3">
      <c r="C27" s="8" t="s">
        <v>11</v>
      </c>
      <c r="D27" s="8" t="s">
        <v>6</v>
      </c>
      <c r="E27" s="42">
        <v>110</v>
      </c>
      <c r="F27" s="9">
        <f>palkka</f>
        <v>16</v>
      </c>
      <c r="G27" s="9"/>
      <c r="H27" s="9">
        <f t="shared" si="1"/>
        <v>1760</v>
      </c>
    </row>
    <row r="28" spans="3:10" x14ac:dyDescent="0.3">
      <c r="C28" s="8" t="s">
        <v>21</v>
      </c>
      <c r="D28" s="8" t="s">
        <v>6</v>
      </c>
      <c r="E28" s="42">
        <v>35</v>
      </c>
      <c r="F28" s="9">
        <f>lopo</f>
        <v>8</v>
      </c>
      <c r="G28" s="9"/>
      <c r="H28" s="9">
        <f t="shared" si="1"/>
        <v>280</v>
      </c>
    </row>
    <row r="29" spans="3:10" x14ac:dyDescent="0.3">
      <c r="C29" s="7" t="s">
        <v>17</v>
      </c>
      <c r="D29" s="7"/>
      <c r="E29" s="10">
        <v>1</v>
      </c>
      <c r="F29" s="43">
        <v>500</v>
      </c>
      <c r="G29" s="10"/>
      <c r="H29" s="10">
        <f t="shared" si="1"/>
        <v>500</v>
      </c>
    </row>
    <row r="30" spans="3:10" x14ac:dyDescent="0.3">
      <c r="C30" s="9"/>
      <c r="D30" s="8"/>
      <c r="E30" s="9"/>
      <c r="F30" s="9"/>
      <c r="G30" s="9"/>
      <c r="H30" s="11">
        <f>SUM(H25:H29)</f>
        <v>3196</v>
      </c>
    </row>
    <row r="31" spans="3:10" x14ac:dyDescent="0.3">
      <c r="C31" s="9"/>
      <c r="D31" s="8"/>
      <c r="E31" s="9"/>
      <c r="F31" s="9"/>
      <c r="G31" s="9"/>
      <c r="H31" s="9"/>
    </row>
    <row r="32" spans="3:10" ht="41.25" customHeight="1" x14ac:dyDescent="0.3">
      <c r="C32" s="11" t="s">
        <v>22</v>
      </c>
      <c r="D32" s="7" t="s">
        <v>5</v>
      </c>
      <c r="E32" s="7" t="s">
        <v>3</v>
      </c>
      <c r="F32" s="7" t="s">
        <v>61</v>
      </c>
      <c r="G32" s="9"/>
      <c r="H32" s="9"/>
    </row>
    <row r="33" spans="2:18" x14ac:dyDescent="0.3">
      <c r="C33" s="8" t="s">
        <v>0</v>
      </c>
      <c r="D33" s="8" t="s">
        <v>8</v>
      </c>
      <c r="E33" s="42">
        <v>2145</v>
      </c>
      <c r="F33" s="9">
        <f>taimi</f>
        <v>0</v>
      </c>
      <c r="G33" s="9"/>
      <c r="H33" s="9">
        <f>+F33*E33</f>
        <v>0</v>
      </c>
      <c r="J33" t="s">
        <v>63</v>
      </c>
    </row>
    <row r="34" spans="2:18" x14ac:dyDescent="0.3">
      <c r="C34" s="8" t="s">
        <v>15</v>
      </c>
      <c r="D34" s="8" t="s">
        <v>6</v>
      </c>
      <c r="E34" s="42">
        <v>180</v>
      </c>
      <c r="F34" s="9">
        <f>palkka</f>
        <v>16</v>
      </c>
      <c r="G34" s="9"/>
      <c r="H34" s="9">
        <f t="shared" ref="H34:H36" si="2">+F34*E34</f>
        <v>2880</v>
      </c>
      <c r="J34" t="s">
        <v>68</v>
      </c>
    </row>
    <row r="35" spans="2:18" x14ac:dyDescent="0.3">
      <c r="C35" s="8" t="s">
        <v>40</v>
      </c>
      <c r="D35" s="8" t="s">
        <v>36</v>
      </c>
      <c r="E35" s="42">
        <v>10</v>
      </c>
      <c r="F35" s="42">
        <v>6</v>
      </c>
      <c r="G35" s="9"/>
      <c r="H35" s="9">
        <f t="shared" si="2"/>
        <v>60</v>
      </c>
    </row>
    <row r="36" spans="2:18" x14ac:dyDescent="0.3">
      <c r="C36" s="7" t="s">
        <v>21</v>
      </c>
      <c r="D36" s="7" t="s">
        <v>6</v>
      </c>
      <c r="E36" s="43">
        <v>10</v>
      </c>
      <c r="F36" s="10">
        <f>lopo</f>
        <v>8</v>
      </c>
      <c r="G36" s="10"/>
      <c r="H36" s="10">
        <f t="shared" si="2"/>
        <v>80</v>
      </c>
    </row>
    <row r="37" spans="2:18" x14ac:dyDescent="0.3">
      <c r="C37" s="9"/>
      <c r="D37" s="8"/>
      <c r="E37" s="9"/>
      <c r="F37" s="9"/>
      <c r="G37" s="9"/>
      <c r="H37" s="11">
        <f>SUM(H33:H36)</f>
        <v>3020</v>
      </c>
    </row>
    <row r="38" spans="2:18" x14ac:dyDescent="0.3">
      <c r="C38" s="9"/>
      <c r="D38" s="8"/>
      <c r="E38" s="9"/>
      <c r="F38" s="9"/>
      <c r="G38" s="9"/>
      <c r="H38" s="9"/>
    </row>
    <row r="39" spans="2:18" ht="18" x14ac:dyDescent="0.35">
      <c r="C39" s="54" t="s">
        <v>76</v>
      </c>
      <c r="D39" s="55"/>
      <c r="E39" s="16"/>
      <c r="F39" s="16"/>
      <c r="G39" s="16"/>
      <c r="H39" s="16">
        <f>+H37+H30+H23+H19</f>
        <v>22216</v>
      </c>
    </row>
    <row r="40" spans="2:18" x14ac:dyDescent="0.3">
      <c r="D40" s="2"/>
      <c r="H40" s="12"/>
      <c r="I40" s="12"/>
      <c r="J40" s="12"/>
      <c r="K40" s="12"/>
      <c r="L40" s="12"/>
      <c r="M40" s="12"/>
      <c r="N40" s="12"/>
      <c r="O40" s="12"/>
      <c r="P40" s="12"/>
      <c r="Q40" s="12"/>
    </row>
    <row r="41" spans="2:18" x14ac:dyDescent="0.3">
      <c r="C41" s="32"/>
      <c r="D41" s="33"/>
      <c r="E41" s="32"/>
      <c r="F41" s="32"/>
      <c r="G41" s="32"/>
      <c r="H41" s="88" t="s">
        <v>2</v>
      </c>
      <c r="I41" s="88"/>
      <c r="J41" s="88"/>
      <c r="K41" s="88"/>
      <c r="L41" s="88"/>
      <c r="M41" s="88"/>
      <c r="N41" s="88"/>
      <c r="O41" s="88"/>
      <c r="P41" s="88"/>
      <c r="Q41" s="88"/>
    </row>
    <row r="42" spans="2:18" ht="18.600000000000001" thickBot="1" x14ac:dyDescent="0.4">
      <c r="B42" s="34" t="s">
        <v>74</v>
      </c>
      <c r="C42" s="34" t="s">
        <v>49</v>
      </c>
      <c r="D42" s="7"/>
      <c r="E42" s="7" t="s">
        <v>3</v>
      </c>
      <c r="F42" s="7" t="s">
        <v>61</v>
      </c>
      <c r="G42" s="31"/>
      <c r="H42" s="41">
        <v>1</v>
      </c>
      <c r="I42" s="41">
        <v>2</v>
      </c>
      <c r="J42" s="41">
        <v>3</v>
      </c>
      <c r="K42" s="41">
        <v>4</v>
      </c>
      <c r="L42" s="41">
        <v>5</v>
      </c>
      <c r="M42" s="41">
        <v>6</v>
      </c>
      <c r="N42" s="41">
        <v>7</v>
      </c>
      <c r="O42" s="41">
        <v>8</v>
      </c>
      <c r="P42" s="41">
        <v>9</v>
      </c>
      <c r="Q42" s="41">
        <v>10</v>
      </c>
    </row>
    <row r="43" spans="2:18" x14ac:dyDescent="0.3">
      <c r="C43" s="8" t="s">
        <v>27</v>
      </c>
      <c r="D43" s="8"/>
      <c r="E43" s="13">
        <f>1/hehtaarit</f>
        <v>0.33333333333333331</v>
      </c>
      <c r="F43" s="42">
        <v>5000</v>
      </c>
      <c r="G43" s="9"/>
      <c r="H43" s="9"/>
      <c r="I43" s="9"/>
      <c r="J43" s="14">
        <f>+F43*E43</f>
        <v>1666.6666666666665</v>
      </c>
      <c r="K43" s="9"/>
      <c r="L43" s="9"/>
      <c r="M43" s="9"/>
      <c r="N43" s="9"/>
      <c r="O43" s="9"/>
      <c r="P43" s="9"/>
      <c r="Q43" s="9"/>
      <c r="R43" t="s">
        <v>70</v>
      </c>
    </row>
    <row r="44" spans="2:18" x14ac:dyDescent="0.3">
      <c r="C44" s="8" t="s">
        <v>16</v>
      </c>
      <c r="D44" s="8"/>
      <c r="E44" s="13">
        <f>1/hehtaarit</f>
        <v>0.33333333333333331</v>
      </c>
      <c r="F44" s="42">
        <v>15000</v>
      </c>
      <c r="G44" s="9"/>
      <c r="H44" s="9"/>
      <c r="I44" s="9"/>
      <c r="J44" s="14">
        <f t="shared" ref="J44:J45" si="3">+F44*E44</f>
        <v>5000</v>
      </c>
      <c r="K44" s="9"/>
      <c r="L44" s="9"/>
      <c r="M44" s="9"/>
      <c r="N44" s="9"/>
      <c r="O44" s="9"/>
      <c r="P44" s="9"/>
      <c r="Q44" s="9"/>
      <c r="R44" t="s">
        <v>69</v>
      </c>
    </row>
    <row r="45" spans="2:18" x14ac:dyDescent="0.3">
      <c r="C45" s="33" t="s">
        <v>26</v>
      </c>
      <c r="D45" s="33"/>
      <c r="E45" s="57">
        <f>1/hehtaarit</f>
        <v>0.33333333333333331</v>
      </c>
      <c r="F45" s="58">
        <v>6000</v>
      </c>
      <c r="G45" s="9"/>
      <c r="H45" s="9"/>
      <c r="I45" s="9"/>
      <c r="J45" s="14">
        <f t="shared" si="3"/>
        <v>2000</v>
      </c>
      <c r="K45" s="9"/>
      <c r="L45" s="9"/>
      <c r="M45" s="9"/>
      <c r="N45" s="9"/>
      <c r="O45" s="9"/>
      <c r="P45" s="9"/>
      <c r="Q45" s="9"/>
      <c r="R45" t="s">
        <v>87</v>
      </c>
    </row>
    <row r="46" spans="2:18" x14ac:dyDescent="0.3">
      <c r="C46" s="8" t="s">
        <v>82</v>
      </c>
      <c r="D46" s="8"/>
      <c r="E46" s="59">
        <f>1/hehtaarit</f>
        <v>0.33333333333333331</v>
      </c>
      <c r="F46" s="42">
        <v>0</v>
      </c>
      <c r="G46" s="9"/>
      <c r="H46" s="9"/>
      <c r="I46" s="9"/>
      <c r="J46" s="9">
        <f t="shared" ref="J46:J47" si="4">+F46*E46</f>
        <v>0</v>
      </c>
      <c r="K46" s="9"/>
      <c r="L46" s="9"/>
      <c r="M46" s="9"/>
      <c r="N46" s="9"/>
      <c r="O46" s="9"/>
      <c r="P46" s="9"/>
      <c r="Q46" s="9"/>
    </row>
    <row r="47" spans="2:18" x14ac:dyDescent="0.3">
      <c r="C47" s="7" t="s">
        <v>81</v>
      </c>
      <c r="D47" s="7"/>
      <c r="E47" s="60">
        <f>1/hehtaarit</f>
        <v>0.33333333333333331</v>
      </c>
      <c r="F47" s="43">
        <v>0</v>
      </c>
      <c r="G47" s="10"/>
      <c r="H47" s="10"/>
      <c r="I47" s="10"/>
      <c r="J47" s="10">
        <f t="shared" si="4"/>
        <v>0</v>
      </c>
      <c r="K47" s="9"/>
      <c r="L47" s="9"/>
      <c r="M47" s="9"/>
      <c r="N47" s="9"/>
      <c r="O47" s="9"/>
      <c r="P47" s="9"/>
      <c r="Q47" s="9"/>
    </row>
    <row r="48" spans="2:18" ht="18" x14ac:dyDescent="0.35">
      <c r="C48" s="15" t="s">
        <v>86</v>
      </c>
      <c r="D48" s="8"/>
      <c r="E48" s="9"/>
      <c r="F48" s="9"/>
      <c r="G48" s="9"/>
      <c r="H48" s="9"/>
      <c r="I48" s="9"/>
      <c r="J48" s="16">
        <f>SUM(J43:J47)</f>
        <v>8666.6666666666661</v>
      </c>
      <c r="K48" s="9"/>
      <c r="L48" s="9"/>
      <c r="M48" s="9"/>
      <c r="N48" s="9"/>
      <c r="O48" s="9"/>
      <c r="P48" s="9"/>
      <c r="Q48" s="9"/>
    </row>
    <row r="49" spans="2:18" ht="18" x14ac:dyDescent="0.35">
      <c r="D49" s="2"/>
      <c r="J49" s="3"/>
    </row>
    <row r="50" spans="2:18" ht="18" x14ac:dyDescent="0.35">
      <c r="B50" s="17" t="s">
        <v>77</v>
      </c>
      <c r="C50" s="17" t="s">
        <v>44</v>
      </c>
      <c r="D50" s="18"/>
      <c r="E50" s="19"/>
      <c r="F50" s="19"/>
      <c r="G50" s="19"/>
      <c r="H50" s="89" t="s">
        <v>2</v>
      </c>
      <c r="I50" s="89"/>
      <c r="J50" s="89"/>
      <c r="K50" s="89"/>
      <c r="L50" s="89"/>
      <c r="M50" s="89"/>
      <c r="N50" s="89"/>
      <c r="O50" s="89"/>
      <c r="P50" s="89"/>
      <c r="Q50" s="89"/>
    </row>
    <row r="51" spans="2:18" x14ac:dyDescent="0.3">
      <c r="C51" s="74" t="s">
        <v>41</v>
      </c>
      <c r="D51" s="75" t="s">
        <v>5</v>
      </c>
      <c r="E51" s="75" t="s">
        <v>3</v>
      </c>
      <c r="F51" s="75" t="s">
        <v>61</v>
      </c>
      <c r="G51" s="22"/>
      <c r="H51" s="74">
        <v>1</v>
      </c>
      <c r="I51" s="74">
        <v>2</v>
      </c>
      <c r="J51" s="74">
        <v>3</v>
      </c>
      <c r="K51" s="74">
        <v>4</v>
      </c>
      <c r="L51" s="74">
        <v>5</v>
      </c>
      <c r="M51" s="74">
        <v>6</v>
      </c>
      <c r="N51" s="74">
        <v>7</v>
      </c>
      <c r="O51" s="74">
        <v>8</v>
      </c>
      <c r="P51" s="74">
        <v>9</v>
      </c>
      <c r="Q51" s="74">
        <v>10</v>
      </c>
    </row>
    <row r="52" spans="2:18" x14ac:dyDescent="0.3">
      <c r="C52" s="46" t="s">
        <v>64</v>
      </c>
      <c r="D52" s="44"/>
      <c r="E52" s="44"/>
      <c r="F52" s="44"/>
      <c r="G52" s="45"/>
      <c r="H52" s="47">
        <v>50</v>
      </c>
      <c r="I52" s="47">
        <v>50</v>
      </c>
      <c r="J52" s="47">
        <v>100</v>
      </c>
      <c r="K52" s="47">
        <v>100</v>
      </c>
      <c r="L52" s="47">
        <v>100</v>
      </c>
      <c r="M52" s="47">
        <v>100</v>
      </c>
      <c r="N52" s="47">
        <v>100</v>
      </c>
      <c r="O52" s="47">
        <v>100</v>
      </c>
      <c r="P52" s="47">
        <v>100</v>
      </c>
      <c r="Q52" s="47">
        <v>100</v>
      </c>
    </row>
    <row r="53" spans="2:18" x14ac:dyDescent="0.3">
      <c r="C53" s="18" t="s">
        <v>18</v>
      </c>
      <c r="D53" s="18" t="s">
        <v>36</v>
      </c>
      <c r="E53" s="42">
        <v>600</v>
      </c>
      <c r="F53" s="42">
        <v>0.35</v>
      </c>
      <c r="G53" s="19"/>
      <c r="H53" s="61">
        <f>+$E$53*$F$53*H52/100</f>
        <v>105</v>
      </c>
      <c r="I53" s="61">
        <f>+$E$53*$F$53*I52/100</f>
        <v>105</v>
      </c>
      <c r="J53" s="61">
        <f t="shared" ref="J53:Q53" si="5">+$E$53*$F$53*J52/100</f>
        <v>210</v>
      </c>
      <c r="K53" s="61">
        <f t="shared" si="5"/>
        <v>210</v>
      </c>
      <c r="L53" s="61">
        <f t="shared" si="5"/>
        <v>210</v>
      </c>
      <c r="M53" s="61">
        <f t="shared" si="5"/>
        <v>210</v>
      </c>
      <c r="N53" s="61">
        <f t="shared" si="5"/>
        <v>210</v>
      </c>
      <c r="O53" s="61">
        <f t="shared" si="5"/>
        <v>210</v>
      </c>
      <c r="P53" s="61">
        <f t="shared" si="5"/>
        <v>210</v>
      </c>
      <c r="Q53" s="61">
        <f t="shared" si="5"/>
        <v>210</v>
      </c>
    </row>
    <row r="54" spans="2:18" x14ac:dyDescent="0.3">
      <c r="C54" s="18"/>
      <c r="D54" s="18"/>
      <c r="E54" s="19"/>
      <c r="F54" s="19"/>
      <c r="G54" s="19"/>
      <c r="H54" s="56"/>
      <c r="I54" s="56"/>
      <c r="J54" s="56"/>
      <c r="K54" s="56"/>
      <c r="L54" s="56"/>
      <c r="M54" s="56"/>
      <c r="N54" s="56"/>
      <c r="O54" s="56"/>
      <c r="P54" s="56"/>
      <c r="Q54" s="56"/>
    </row>
    <row r="55" spans="2:18" x14ac:dyDescent="0.3">
      <c r="C55" s="18" t="s">
        <v>19</v>
      </c>
      <c r="D55" s="18"/>
      <c r="E55" s="19">
        <v>1</v>
      </c>
      <c r="F55" s="42">
        <v>1500</v>
      </c>
      <c r="G55" s="19"/>
      <c r="H55" s="56">
        <f>+$F$55*$E$55*H52/100</f>
        <v>750</v>
      </c>
      <c r="I55" s="56">
        <f t="shared" ref="I55:Q55" si="6">+$F$55*$E$55*I52/100</f>
        <v>750</v>
      </c>
      <c r="J55" s="56">
        <f t="shared" si="6"/>
        <v>1500</v>
      </c>
      <c r="K55" s="56">
        <f t="shared" si="6"/>
        <v>1500</v>
      </c>
      <c r="L55" s="56">
        <f t="shared" si="6"/>
        <v>1500</v>
      </c>
      <c r="M55" s="56">
        <f t="shared" si="6"/>
        <v>1500</v>
      </c>
      <c r="N55" s="56">
        <f t="shared" si="6"/>
        <v>1500</v>
      </c>
      <c r="O55" s="56">
        <f t="shared" si="6"/>
        <v>1500</v>
      </c>
      <c r="P55" s="56">
        <f t="shared" si="6"/>
        <v>1500</v>
      </c>
      <c r="Q55" s="56">
        <f t="shared" si="6"/>
        <v>1500</v>
      </c>
    </row>
    <row r="56" spans="2:18" x14ac:dyDescent="0.3">
      <c r="C56" s="46" t="s">
        <v>83</v>
      </c>
      <c r="D56" s="44"/>
      <c r="E56" s="44"/>
      <c r="F56" s="44"/>
      <c r="G56" s="45"/>
      <c r="H56" s="47">
        <v>25</v>
      </c>
      <c r="I56" s="47">
        <v>40</v>
      </c>
      <c r="J56" s="47">
        <v>100</v>
      </c>
      <c r="K56" s="47">
        <v>100</v>
      </c>
      <c r="L56" s="47">
        <v>100</v>
      </c>
      <c r="M56" s="47">
        <v>100</v>
      </c>
      <c r="N56" s="47">
        <v>100</v>
      </c>
      <c r="O56" s="47">
        <v>100</v>
      </c>
      <c r="P56" s="47">
        <v>100</v>
      </c>
      <c r="Q56" s="47">
        <v>100</v>
      </c>
    </row>
    <row r="57" spans="2:18" x14ac:dyDescent="0.3">
      <c r="C57" s="18" t="s">
        <v>20</v>
      </c>
      <c r="D57" s="18" t="s">
        <v>6</v>
      </c>
      <c r="E57" s="42">
        <v>250</v>
      </c>
      <c r="F57" s="19">
        <f>palkka</f>
        <v>16</v>
      </c>
      <c r="G57" s="19"/>
      <c r="H57" s="19">
        <f>+$E$57*$F$57*H56/100</f>
        <v>1000</v>
      </c>
      <c r="I57" s="19">
        <f>+$E$57*$F$57*I56/100</f>
        <v>1600</v>
      </c>
      <c r="J57" s="19">
        <f t="shared" ref="J57:Q57" si="7">+$E$57*$F$57*J56/100</f>
        <v>4000</v>
      </c>
      <c r="K57" s="19">
        <f t="shared" si="7"/>
        <v>4000</v>
      </c>
      <c r="L57" s="19">
        <f t="shared" si="7"/>
        <v>4000</v>
      </c>
      <c r="M57" s="19">
        <f t="shared" si="7"/>
        <v>4000</v>
      </c>
      <c r="N57" s="19">
        <f t="shared" si="7"/>
        <v>4000</v>
      </c>
      <c r="O57" s="19">
        <f t="shared" si="7"/>
        <v>4000</v>
      </c>
      <c r="P57" s="19">
        <f t="shared" si="7"/>
        <v>4000</v>
      </c>
      <c r="Q57" s="19">
        <f t="shared" si="7"/>
        <v>4000</v>
      </c>
      <c r="R57" t="s">
        <v>68</v>
      </c>
    </row>
    <row r="58" spans="2:18" x14ac:dyDescent="0.3">
      <c r="C58" s="21" t="s">
        <v>21</v>
      </c>
      <c r="D58" s="21" t="s">
        <v>6</v>
      </c>
      <c r="E58" s="43">
        <v>20</v>
      </c>
      <c r="F58" s="22">
        <f>lopo</f>
        <v>8</v>
      </c>
      <c r="G58" s="22"/>
      <c r="H58" s="22">
        <f>+$E$58*$F$58*H56/100</f>
        <v>40</v>
      </c>
      <c r="I58" s="22">
        <f>+$E$58*$F$58*I56/100</f>
        <v>64</v>
      </c>
      <c r="J58" s="22">
        <f t="shared" ref="J58:Q58" si="8">+$E$58*$F$58*J56/100</f>
        <v>160</v>
      </c>
      <c r="K58" s="22">
        <f t="shared" si="8"/>
        <v>160</v>
      </c>
      <c r="L58" s="22">
        <f t="shared" si="8"/>
        <v>160</v>
      </c>
      <c r="M58" s="22">
        <f t="shared" si="8"/>
        <v>160</v>
      </c>
      <c r="N58" s="22">
        <f t="shared" si="8"/>
        <v>160</v>
      </c>
      <c r="O58" s="22">
        <f t="shared" si="8"/>
        <v>160</v>
      </c>
      <c r="P58" s="22">
        <f t="shared" si="8"/>
        <v>160</v>
      </c>
      <c r="Q58" s="22">
        <f t="shared" si="8"/>
        <v>160</v>
      </c>
    </row>
    <row r="59" spans="2:18" x14ac:dyDescent="0.3">
      <c r="C59" s="19"/>
      <c r="D59" s="18"/>
      <c r="E59" s="19"/>
      <c r="F59" s="19"/>
      <c r="G59" s="19"/>
      <c r="H59" s="20">
        <f>SUM(H53:H58)</f>
        <v>1920</v>
      </c>
      <c r="I59" s="23">
        <f>SUM(I53:I58)</f>
        <v>2559</v>
      </c>
      <c r="J59" s="23">
        <f>SUM(J53:J58)</f>
        <v>5970</v>
      </c>
      <c r="K59" s="23">
        <f t="shared" ref="K59:Q59" si="9">SUM(K53:K58)</f>
        <v>5970</v>
      </c>
      <c r="L59" s="23">
        <f t="shared" si="9"/>
        <v>5970</v>
      </c>
      <c r="M59" s="23">
        <f t="shared" si="9"/>
        <v>5970</v>
      </c>
      <c r="N59" s="23">
        <f t="shared" si="9"/>
        <v>5970</v>
      </c>
      <c r="O59" s="23">
        <f t="shared" si="9"/>
        <v>5970</v>
      </c>
      <c r="P59" s="23">
        <f t="shared" si="9"/>
        <v>5970</v>
      </c>
      <c r="Q59" s="23">
        <f t="shared" si="9"/>
        <v>5970</v>
      </c>
    </row>
    <row r="60" spans="2:18" ht="42" customHeight="1" x14ac:dyDescent="0.3">
      <c r="C60" s="74" t="s">
        <v>30</v>
      </c>
      <c r="D60" s="75" t="s">
        <v>5</v>
      </c>
      <c r="E60" s="75" t="s">
        <v>3</v>
      </c>
      <c r="F60" s="75" t="s">
        <v>61</v>
      </c>
      <c r="G60" s="22"/>
      <c r="H60" s="22"/>
      <c r="I60" s="22"/>
      <c r="J60" s="22"/>
      <c r="K60" s="22"/>
      <c r="L60" s="22"/>
      <c r="M60" s="22"/>
      <c r="N60" s="22"/>
      <c r="O60" s="22"/>
      <c r="P60" s="22"/>
      <c r="Q60" s="22"/>
    </row>
    <row r="61" spans="2:18" x14ac:dyDescent="0.3">
      <c r="C61" s="29" t="s">
        <v>20</v>
      </c>
      <c r="D61" s="18"/>
      <c r="E61" s="19"/>
      <c r="F61" s="19"/>
      <c r="G61" s="19"/>
      <c r="H61" s="19"/>
      <c r="I61" s="19"/>
      <c r="J61" s="19"/>
      <c r="K61" s="19"/>
      <c r="L61" s="19"/>
      <c r="M61" s="19"/>
      <c r="N61" s="19"/>
      <c r="O61" s="19"/>
      <c r="P61" s="19"/>
      <c r="Q61" s="19"/>
    </row>
    <row r="62" spans="2:18" x14ac:dyDescent="0.3">
      <c r="C62" s="18" t="s">
        <v>23</v>
      </c>
      <c r="D62" s="18" t="s">
        <v>6</v>
      </c>
      <c r="E62" s="42">
        <v>100</v>
      </c>
      <c r="F62" s="19">
        <f>palkka</f>
        <v>16</v>
      </c>
      <c r="G62" s="19"/>
      <c r="H62" s="19"/>
      <c r="I62" s="19">
        <f>+$F$62*$E$62</f>
        <v>1600</v>
      </c>
      <c r="J62" s="19">
        <f>+$E62*$F62</f>
        <v>1600</v>
      </c>
      <c r="K62" s="19">
        <f t="shared" ref="K62:Q62" si="10">+$E62*$F62</f>
        <v>1600</v>
      </c>
      <c r="L62" s="19">
        <f t="shared" si="10"/>
        <v>1600</v>
      </c>
      <c r="M62" s="19">
        <f t="shared" si="10"/>
        <v>1600</v>
      </c>
      <c r="N62" s="19">
        <f t="shared" si="10"/>
        <v>1600</v>
      </c>
      <c r="O62" s="19">
        <f t="shared" si="10"/>
        <v>1600</v>
      </c>
      <c r="P62" s="19">
        <f t="shared" si="10"/>
        <v>1600</v>
      </c>
      <c r="Q62" s="19">
        <f t="shared" si="10"/>
        <v>1600</v>
      </c>
      <c r="R62" t="s">
        <v>68</v>
      </c>
    </row>
    <row r="63" spans="2:18" x14ac:dyDescent="0.3">
      <c r="C63" s="18" t="s">
        <v>1</v>
      </c>
      <c r="D63" s="18" t="s">
        <v>6</v>
      </c>
      <c r="E63" s="42">
        <v>60</v>
      </c>
      <c r="F63" s="19">
        <f>palkka</f>
        <v>16</v>
      </c>
      <c r="G63" s="19"/>
      <c r="H63" s="19"/>
      <c r="I63" s="19"/>
      <c r="J63" s="19">
        <f t="shared" ref="J63:Q66" si="11">+$E63*$F63</f>
        <v>960</v>
      </c>
      <c r="K63" s="19">
        <f t="shared" si="11"/>
        <v>960</v>
      </c>
      <c r="L63" s="19">
        <f t="shared" si="11"/>
        <v>960</v>
      </c>
      <c r="M63" s="19">
        <f t="shared" si="11"/>
        <v>960</v>
      </c>
      <c r="N63" s="19">
        <f t="shared" si="11"/>
        <v>960</v>
      </c>
      <c r="O63" s="19">
        <f t="shared" si="11"/>
        <v>960</v>
      </c>
      <c r="P63" s="19">
        <f t="shared" si="11"/>
        <v>960</v>
      </c>
      <c r="Q63" s="19">
        <f t="shared" si="11"/>
        <v>960</v>
      </c>
    </row>
    <row r="64" spans="2:18" x14ac:dyDescent="0.3">
      <c r="C64" s="18" t="s">
        <v>24</v>
      </c>
      <c r="D64" s="18" t="s">
        <v>6</v>
      </c>
      <c r="E64" s="42">
        <v>20</v>
      </c>
      <c r="F64" s="19">
        <f>palkka</f>
        <v>16</v>
      </c>
      <c r="G64" s="19"/>
      <c r="H64" s="19"/>
      <c r="I64" s="19"/>
      <c r="J64" s="19">
        <f t="shared" si="11"/>
        <v>320</v>
      </c>
      <c r="K64" s="19">
        <f t="shared" si="11"/>
        <v>320</v>
      </c>
      <c r="L64" s="19">
        <f t="shared" si="11"/>
        <v>320</v>
      </c>
      <c r="M64" s="19">
        <f t="shared" si="11"/>
        <v>320</v>
      </c>
      <c r="N64" s="19">
        <f t="shared" si="11"/>
        <v>320</v>
      </c>
      <c r="O64" s="19">
        <f t="shared" si="11"/>
        <v>320</v>
      </c>
      <c r="P64" s="19">
        <f t="shared" si="11"/>
        <v>320</v>
      </c>
      <c r="Q64" s="19">
        <f t="shared" si="11"/>
        <v>320</v>
      </c>
    </row>
    <row r="65" spans="2:18" x14ac:dyDescent="0.3">
      <c r="C65" s="29" t="s">
        <v>21</v>
      </c>
      <c r="D65" s="18" t="s">
        <v>6</v>
      </c>
      <c r="E65" s="42">
        <v>25</v>
      </c>
      <c r="F65" s="19">
        <f>lopo</f>
        <v>8</v>
      </c>
      <c r="G65" s="19"/>
      <c r="H65" s="19"/>
      <c r="I65" s="19">
        <f>+F65*E65</f>
        <v>200</v>
      </c>
      <c r="J65" s="19">
        <f t="shared" si="11"/>
        <v>200</v>
      </c>
      <c r="K65" s="19">
        <f t="shared" si="11"/>
        <v>200</v>
      </c>
      <c r="L65" s="19">
        <f t="shared" si="11"/>
        <v>200</v>
      </c>
      <c r="M65" s="19">
        <f t="shared" si="11"/>
        <v>200</v>
      </c>
      <c r="N65" s="19">
        <f t="shared" si="11"/>
        <v>200</v>
      </c>
      <c r="O65" s="19">
        <f t="shared" si="11"/>
        <v>200</v>
      </c>
      <c r="P65" s="19">
        <f t="shared" si="11"/>
        <v>200</v>
      </c>
      <c r="Q65" s="19">
        <f t="shared" si="11"/>
        <v>200</v>
      </c>
    </row>
    <row r="66" spans="2:18" x14ac:dyDescent="0.3">
      <c r="C66" s="30" t="s">
        <v>42</v>
      </c>
      <c r="D66" s="21" t="s">
        <v>25</v>
      </c>
      <c r="E66" s="43">
        <v>600</v>
      </c>
      <c r="F66" s="43">
        <v>0.17</v>
      </c>
      <c r="G66" s="22"/>
      <c r="H66" s="22"/>
      <c r="I66" s="22"/>
      <c r="J66" s="22">
        <f t="shared" si="11"/>
        <v>102.00000000000001</v>
      </c>
      <c r="K66" s="22">
        <f t="shared" si="11"/>
        <v>102.00000000000001</v>
      </c>
      <c r="L66" s="22">
        <f t="shared" si="11"/>
        <v>102.00000000000001</v>
      </c>
      <c r="M66" s="22">
        <f t="shared" si="11"/>
        <v>102.00000000000001</v>
      </c>
      <c r="N66" s="22">
        <f t="shared" si="11"/>
        <v>102.00000000000001</v>
      </c>
      <c r="O66" s="22">
        <f t="shared" si="11"/>
        <v>102.00000000000001</v>
      </c>
      <c r="P66" s="22">
        <f t="shared" si="11"/>
        <v>102.00000000000001</v>
      </c>
      <c r="Q66" s="22">
        <f t="shared" si="11"/>
        <v>102.00000000000001</v>
      </c>
      <c r="R66" t="s">
        <v>71</v>
      </c>
    </row>
    <row r="67" spans="2:18" x14ac:dyDescent="0.3">
      <c r="C67" s="19"/>
      <c r="D67" s="18"/>
      <c r="E67" s="19"/>
      <c r="F67" s="19"/>
      <c r="G67" s="19"/>
      <c r="H67" s="20">
        <v>0</v>
      </c>
      <c r="I67" s="23">
        <f>SUM(I62:I66)</f>
        <v>1800</v>
      </c>
      <c r="J67" s="23">
        <f t="shared" ref="J67:Q67" si="12">SUM(J62:J66)</f>
        <v>3182</v>
      </c>
      <c r="K67" s="23">
        <f t="shared" si="12"/>
        <v>3182</v>
      </c>
      <c r="L67" s="23">
        <f t="shared" si="12"/>
        <v>3182</v>
      </c>
      <c r="M67" s="23">
        <f t="shared" si="12"/>
        <v>3182</v>
      </c>
      <c r="N67" s="23">
        <f t="shared" si="12"/>
        <v>3182</v>
      </c>
      <c r="O67" s="23">
        <f t="shared" si="12"/>
        <v>3182</v>
      </c>
      <c r="P67" s="23">
        <f t="shared" si="12"/>
        <v>3182</v>
      </c>
      <c r="Q67" s="23">
        <f t="shared" si="12"/>
        <v>3182</v>
      </c>
    </row>
    <row r="68" spans="2:18" ht="18" x14ac:dyDescent="0.35">
      <c r="C68" s="17" t="s">
        <v>45</v>
      </c>
      <c r="D68" s="18"/>
      <c r="E68" s="19"/>
      <c r="F68" s="19"/>
      <c r="G68" s="19"/>
      <c r="H68" s="17">
        <f t="shared" ref="H68:Q68" si="13">+H59+H67</f>
        <v>1920</v>
      </c>
      <c r="I68" s="17">
        <f t="shared" si="13"/>
        <v>4359</v>
      </c>
      <c r="J68" s="17">
        <f t="shared" si="13"/>
        <v>9152</v>
      </c>
      <c r="K68" s="17">
        <f t="shared" si="13"/>
        <v>9152</v>
      </c>
      <c r="L68" s="17">
        <f t="shared" si="13"/>
        <v>9152</v>
      </c>
      <c r="M68" s="17">
        <f t="shared" si="13"/>
        <v>9152</v>
      </c>
      <c r="N68" s="17">
        <f t="shared" si="13"/>
        <v>9152</v>
      </c>
      <c r="O68" s="17">
        <f t="shared" si="13"/>
        <v>9152</v>
      </c>
      <c r="P68" s="17">
        <f t="shared" si="13"/>
        <v>9152</v>
      </c>
      <c r="Q68" s="17">
        <f t="shared" si="13"/>
        <v>9152</v>
      </c>
    </row>
    <row r="69" spans="2:18" x14ac:dyDescent="0.3">
      <c r="D69" s="2"/>
    </row>
    <row r="70" spans="2:18" ht="18" x14ac:dyDescent="0.35">
      <c r="B70" s="76" t="s">
        <v>78</v>
      </c>
      <c r="C70" s="76" t="s">
        <v>32</v>
      </c>
      <c r="D70" s="24"/>
      <c r="E70" s="25"/>
      <c r="F70" s="25"/>
      <c r="G70" s="25"/>
      <c r="H70" s="91" t="s">
        <v>2</v>
      </c>
      <c r="I70" s="91"/>
      <c r="J70" s="91"/>
      <c r="K70" s="91"/>
      <c r="L70" s="91"/>
      <c r="M70" s="91"/>
      <c r="N70" s="91"/>
      <c r="O70" s="91"/>
      <c r="P70" s="91"/>
      <c r="Q70" s="91"/>
    </row>
    <row r="71" spans="2:18" x14ac:dyDescent="0.3">
      <c r="C71" s="27"/>
      <c r="D71" s="85" t="s">
        <v>5</v>
      </c>
      <c r="E71" s="85" t="s">
        <v>3</v>
      </c>
      <c r="F71" s="85" t="s">
        <v>61</v>
      </c>
      <c r="G71" s="27"/>
      <c r="H71" s="27">
        <v>1</v>
      </c>
      <c r="I71" s="27">
        <v>2</v>
      </c>
      <c r="J71" s="27">
        <v>3</v>
      </c>
      <c r="K71" s="27">
        <v>4</v>
      </c>
      <c r="L71" s="27">
        <v>5</v>
      </c>
      <c r="M71" s="27">
        <v>6</v>
      </c>
      <c r="N71" s="27">
        <v>7</v>
      </c>
      <c r="O71" s="27">
        <v>8</v>
      </c>
      <c r="P71" s="27">
        <v>9</v>
      </c>
      <c r="Q71" s="27">
        <v>10</v>
      </c>
    </row>
    <row r="72" spans="2:18" x14ac:dyDescent="0.3">
      <c r="C72" s="48" t="s">
        <v>64</v>
      </c>
      <c r="D72" s="49"/>
      <c r="E72" s="50"/>
      <c r="F72" s="50"/>
      <c r="G72" s="50"/>
      <c r="H72" s="47">
        <v>0</v>
      </c>
      <c r="I72" s="47">
        <v>0</v>
      </c>
      <c r="J72" s="47">
        <v>75</v>
      </c>
      <c r="K72" s="47">
        <v>100</v>
      </c>
      <c r="L72" s="47">
        <v>100</v>
      </c>
      <c r="M72" s="47">
        <v>100</v>
      </c>
      <c r="N72" s="47">
        <v>100</v>
      </c>
      <c r="O72" s="47">
        <v>100</v>
      </c>
      <c r="P72" s="47">
        <v>100</v>
      </c>
      <c r="Q72" s="47">
        <v>100</v>
      </c>
    </row>
    <row r="73" spans="2:18" x14ac:dyDescent="0.3">
      <c r="C73" s="24" t="s">
        <v>33</v>
      </c>
      <c r="D73" s="24" t="s">
        <v>36</v>
      </c>
      <c r="E73" s="25">
        <f>normisato</f>
        <v>800</v>
      </c>
      <c r="F73" s="25">
        <f>humala</f>
        <v>0</v>
      </c>
      <c r="G73" s="25"/>
      <c r="H73" s="25"/>
      <c r="I73" s="25"/>
      <c r="J73" s="25">
        <f>+$F73*$E73*0.75</f>
        <v>0</v>
      </c>
      <c r="K73" s="25">
        <f>+$F73*$E73</f>
        <v>0</v>
      </c>
      <c r="L73" s="25">
        <f t="shared" ref="L73:Q75" si="14">+$F73*$E73</f>
        <v>0</v>
      </c>
      <c r="M73" s="25">
        <f t="shared" si="14"/>
        <v>0</v>
      </c>
      <c r="N73" s="25">
        <f t="shared" si="14"/>
        <v>0</v>
      </c>
      <c r="O73" s="25">
        <f t="shared" si="14"/>
        <v>0</v>
      </c>
      <c r="P73" s="25">
        <f t="shared" si="14"/>
        <v>0</v>
      </c>
      <c r="Q73" s="25">
        <f t="shared" si="14"/>
        <v>0</v>
      </c>
    </row>
    <row r="74" spans="2:18" x14ac:dyDescent="0.3">
      <c r="C74" s="24" t="s">
        <v>34</v>
      </c>
      <c r="D74" s="24" t="s">
        <v>36</v>
      </c>
      <c r="E74" s="42">
        <v>0</v>
      </c>
      <c r="F74" s="42">
        <v>0</v>
      </c>
      <c r="G74" s="25"/>
      <c r="H74" s="25">
        <f>+$F74*$E74*H72/100</f>
        <v>0</v>
      </c>
      <c r="I74" s="25">
        <f t="shared" ref="I74:Q74" si="15">+$F74*$E74*I72/100</f>
        <v>0</v>
      </c>
      <c r="J74" s="25">
        <f t="shared" si="15"/>
        <v>0</v>
      </c>
      <c r="K74" s="25">
        <f t="shared" si="15"/>
        <v>0</v>
      </c>
      <c r="L74" s="25">
        <f t="shared" si="15"/>
        <v>0</v>
      </c>
      <c r="M74" s="25">
        <f t="shared" si="15"/>
        <v>0</v>
      </c>
      <c r="N74" s="25">
        <f t="shared" si="15"/>
        <v>0</v>
      </c>
      <c r="O74" s="25">
        <f t="shared" si="15"/>
        <v>0</v>
      </c>
      <c r="P74" s="25">
        <f t="shared" si="15"/>
        <v>0</v>
      </c>
      <c r="Q74" s="25">
        <f t="shared" si="15"/>
        <v>0</v>
      </c>
    </row>
    <row r="75" spans="2:18" x14ac:dyDescent="0.3">
      <c r="C75" s="26" t="s">
        <v>35</v>
      </c>
      <c r="D75" s="26" t="s">
        <v>37</v>
      </c>
      <c r="E75" s="27">
        <v>1</v>
      </c>
      <c r="F75" s="27">
        <f>tuet</f>
        <v>500</v>
      </c>
      <c r="G75" s="27"/>
      <c r="H75" s="27">
        <f>+F75</f>
        <v>500</v>
      </c>
      <c r="I75" s="27">
        <f>+F75</f>
        <v>500</v>
      </c>
      <c r="J75" s="27">
        <f>+$F75*$E75</f>
        <v>500</v>
      </c>
      <c r="K75" s="27">
        <f>+$F75*$E75</f>
        <v>500</v>
      </c>
      <c r="L75" s="27">
        <f t="shared" si="14"/>
        <v>500</v>
      </c>
      <c r="M75" s="27">
        <f t="shared" si="14"/>
        <v>500</v>
      </c>
      <c r="N75" s="27">
        <f t="shared" si="14"/>
        <v>500</v>
      </c>
      <c r="O75" s="27">
        <f t="shared" si="14"/>
        <v>500</v>
      </c>
      <c r="P75" s="27">
        <f t="shared" si="14"/>
        <v>500</v>
      </c>
      <c r="Q75" s="27">
        <f t="shared" si="14"/>
        <v>500</v>
      </c>
    </row>
    <row r="76" spans="2:18" ht="18" x14ac:dyDescent="0.35">
      <c r="C76" s="76" t="s">
        <v>92</v>
      </c>
      <c r="D76" s="24"/>
      <c r="E76" s="25"/>
      <c r="F76" s="25"/>
      <c r="G76" s="25"/>
      <c r="H76" s="28">
        <f t="shared" ref="H76:J76" si="16">SUM(H73:H75)</f>
        <v>500</v>
      </c>
      <c r="I76" s="28">
        <f t="shared" si="16"/>
        <v>500</v>
      </c>
      <c r="J76" s="28">
        <f t="shared" si="16"/>
        <v>500</v>
      </c>
      <c r="K76" s="28">
        <f>SUM(K73:K75)</f>
        <v>500</v>
      </c>
      <c r="L76" s="28">
        <f t="shared" ref="L76:Q76" si="17">SUM(L73:L75)</f>
        <v>500</v>
      </c>
      <c r="M76" s="28">
        <f t="shared" si="17"/>
        <v>500</v>
      </c>
      <c r="N76" s="28">
        <f t="shared" si="17"/>
        <v>500</v>
      </c>
      <c r="O76" s="28">
        <f t="shared" si="17"/>
        <v>500</v>
      </c>
      <c r="P76" s="28">
        <f t="shared" si="17"/>
        <v>500</v>
      </c>
      <c r="Q76" s="28">
        <f t="shared" si="17"/>
        <v>500</v>
      </c>
    </row>
    <row r="77" spans="2:18" x14ac:dyDescent="0.3">
      <c r="D77" s="2"/>
      <c r="H77" s="1"/>
      <c r="I77" s="1"/>
      <c r="J77" s="1"/>
      <c r="K77" s="1"/>
      <c r="L77" s="1"/>
      <c r="M77" s="1"/>
      <c r="N77" s="1"/>
      <c r="O77" s="1"/>
      <c r="P77" s="1"/>
      <c r="Q77" s="1"/>
    </row>
    <row r="78" spans="2:18" ht="15" thickBot="1" x14ac:dyDescent="0.35">
      <c r="D78" s="2"/>
    </row>
    <row r="79" spans="2:18" ht="18" x14ac:dyDescent="0.35">
      <c r="B79" s="62" t="s">
        <v>79</v>
      </c>
      <c r="C79" s="72" t="s">
        <v>80</v>
      </c>
      <c r="D79" s="63"/>
      <c r="E79" s="64"/>
      <c r="F79" s="64"/>
      <c r="G79" s="64"/>
      <c r="H79" s="86" t="s">
        <v>2</v>
      </c>
      <c r="I79" s="86"/>
      <c r="J79" s="86"/>
      <c r="K79" s="86"/>
      <c r="L79" s="86"/>
      <c r="M79" s="86"/>
      <c r="N79" s="86"/>
      <c r="O79" s="86"/>
      <c r="P79" s="86"/>
      <c r="Q79" s="87"/>
    </row>
    <row r="80" spans="2:18" x14ac:dyDescent="0.3">
      <c r="C80" s="77" t="s">
        <v>72</v>
      </c>
      <c r="D80" s="78"/>
      <c r="E80" s="79"/>
      <c r="F80" s="79"/>
      <c r="G80" s="79"/>
      <c r="H80" s="80">
        <v>1</v>
      </c>
      <c r="I80" s="80">
        <v>2</v>
      </c>
      <c r="J80" s="80">
        <v>3</v>
      </c>
      <c r="K80" s="80">
        <v>4</v>
      </c>
      <c r="L80" s="80">
        <v>5</v>
      </c>
      <c r="M80" s="80">
        <v>6</v>
      </c>
      <c r="N80" s="80">
        <v>7</v>
      </c>
      <c r="O80" s="80">
        <v>8</v>
      </c>
      <c r="P80" s="80">
        <v>9</v>
      </c>
      <c r="Q80" s="81">
        <v>10</v>
      </c>
    </row>
    <row r="81" spans="3:18" x14ac:dyDescent="0.3">
      <c r="C81" s="65" t="s">
        <v>46</v>
      </c>
      <c r="D81" s="66"/>
      <c r="E81" s="67"/>
      <c r="F81" s="67"/>
      <c r="G81" s="67"/>
      <c r="H81" s="68">
        <f t="shared" ref="H81:Q81" si="18">+H76-H68-H48-H39</f>
        <v>-23636</v>
      </c>
      <c r="I81" s="68">
        <f t="shared" si="18"/>
        <v>-3859</v>
      </c>
      <c r="J81" s="68">
        <f t="shared" si="18"/>
        <v>-17318.666666666664</v>
      </c>
      <c r="K81" s="68">
        <f t="shared" si="18"/>
        <v>-8652</v>
      </c>
      <c r="L81" s="68">
        <f t="shared" si="18"/>
        <v>-8652</v>
      </c>
      <c r="M81" s="68">
        <f t="shared" si="18"/>
        <v>-8652</v>
      </c>
      <c r="N81" s="68">
        <f t="shared" si="18"/>
        <v>-8652</v>
      </c>
      <c r="O81" s="68">
        <f t="shared" si="18"/>
        <v>-8652</v>
      </c>
      <c r="P81" s="68">
        <f t="shared" si="18"/>
        <v>-8652</v>
      </c>
      <c r="Q81" s="69">
        <f t="shared" si="18"/>
        <v>-8652</v>
      </c>
      <c r="R81" s="4"/>
    </row>
    <row r="82" spans="3:18" x14ac:dyDescent="0.3">
      <c r="C82" s="65" t="s">
        <v>47</v>
      </c>
      <c r="D82" s="66"/>
      <c r="E82" s="67"/>
      <c r="F82" s="67"/>
      <c r="G82" s="67"/>
      <c r="H82" s="68">
        <f>H81</f>
        <v>-23636</v>
      </c>
      <c r="I82" s="67">
        <f t="shared" ref="I82:Q82" si="19">I81*(1/(korko/100+1)^(I80-$H80))</f>
        <v>-3710.5769230769229</v>
      </c>
      <c r="J82" s="67">
        <f t="shared" si="19"/>
        <v>-16012.080867850094</v>
      </c>
      <c r="K82" s="67">
        <f t="shared" si="19"/>
        <v>-7691.5964952207551</v>
      </c>
      <c r="L82" s="67">
        <f t="shared" si="19"/>
        <v>-7395.7658607891872</v>
      </c>
      <c r="M82" s="67">
        <f t="shared" si="19"/>
        <v>-7111.3133276819099</v>
      </c>
      <c r="N82" s="67">
        <f t="shared" si="19"/>
        <v>-6837.8012766172205</v>
      </c>
      <c r="O82" s="67">
        <f t="shared" si="19"/>
        <v>-6574.8089198242515</v>
      </c>
      <c r="P82" s="67">
        <f t="shared" si="19"/>
        <v>-6321.9316536771639</v>
      </c>
      <c r="Q82" s="70">
        <f t="shared" si="19"/>
        <v>-6078.7804362280413</v>
      </c>
      <c r="R82" s="4"/>
    </row>
    <row r="83" spans="3:18" ht="18.600000000000001" thickBot="1" x14ac:dyDescent="0.4">
      <c r="C83" s="82" t="s">
        <v>88</v>
      </c>
      <c r="D83" s="71"/>
      <c r="E83" s="71"/>
      <c r="F83" s="71"/>
      <c r="G83" s="71"/>
      <c r="H83" s="83">
        <f>+H82</f>
        <v>-23636</v>
      </c>
      <c r="I83" s="83">
        <f>+H83+I82</f>
        <v>-27346.576923076922</v>
      </c>
      <c r="J83" s="83">
        <f t="shared" ref="J83:L83" si="20">+I83+J82</f>
        <v>-43358.657790927013</v>
      </c>
      <c r="K83" s="83">
        <f t="shared" si="20"/>
        <v>-51050.25428614777</v>
      </c>
      <c r="L83" s="83">
        <f t="shared" si="20"/>
        <v>-58446.020146936957</v>
      </c>
      <c r="M83" s="83">
        <f t="shared" ref="M83" si="21">+L83+M82</f>
        <v>-65557.333474618863</v>
      </c>
      <c r="N83" s="83">
        <f t="shared" ref="N83:O83" si="22">+M83+N82</f>
        <v>-72395.134751236081</v>
      </c>
      <c r="O83" s="83">
        <f t="shared" si="22"/>
        <v>-78969.943671060333</v>
      </c>
      <c r="P83" s="83">
        <f t="shared" ref="P83" si="23">+O83+P82</f>
        <v>-85291.875324737499</v>
      </c>
      <c r="Q83" s="84">
        <f t="shared" ref="Q83" si="24">+P83+Q82</f>
        <v>-91370.655760965543</v>
      </c>
    </row>
    <row r="84" spans="3:18" x14ac:dyDescent="0.3">
      <c r="C84" s="5"/>
      <c r="D84" s="6"/>
      <c r="E84" s="6"/>
      <c r="F84" s="6"/>
      <c r="G84" s="6"/>
      <c r="H84" s="6"/>
      <c r="I84" s="6"/>
      <c r="J84" s="6"/>
      <c r="K84" s="6"/>
      <c r="L84" s="6"/>
      <c r="M84" s="6"/>
      <c r="N84" s="6"/>
      <c r="O84" s="6"/>
      <c r="P84" s="6"/>
      <c r="Q84" s="6"/>
    </row>
    <row r="85" spans="3:18" x14ac:dyDescent="0.3">
      <c r="H85" s="4"/>
      <c r="I85" s="4"/>
      <c r="J85" s="4"/>
      <c r="K85" s="4"/>
      <c r="L85" s="4"/>
      <c r="M85" s="4"/>
      <c r="N85" s="4"/>
      <c r="O85" s="4"/>
      <c r="P85" s="4"/>
      <c r="Q85" s="4"/>
    </row>
    <row r="87" spans="3:18" x14ac:dyDescent="0.3">
      <c r="C87" t="s">
        <v>89</v>
      </c>
    </row>
    <row r="88" spans="3:18" x14ac:dyDescent="0.3">
      <c r="C88" t="s">
        <v>91</v>
      </c>
    </row>
    <row r="89" spans="3:18" x14ac:dyDescent="0.3">
      <c r="C89" s="1" t="s">
        <v>90</v>
      </c>
    </row>
  </sheetData>
  <sheetProtection password="CB93" sheet="1" objects="1" scenarios="1"/>
  <protectedRanges>
    <protectedRange sqref="H72:Q72 E74:F74" name="tuotot"/>
    <protectedRange sqref="H52:Q52 H56:Q56" name="osuuspros"/>
    <protectedRange sqref="F43:F47 E46:E47" name="kalusto"/>
    <protectedRange sqref="E25:E28 F25 F29" name="Range5"/>
    <protectedRange sqref="E25:E28 F25 F29" name="rakperus"/>
    <protectedRange sqref="E16:F18" name="muokkaus"/>
    <protectedRange sqref="D5:D12" name="parametrit"/>
    <protectedRange sqref="E21:F21 F22" name="rakenteet"/>
    <protectedRange sqref="E33:E36 F35" name="kasvper"/>
    <protectedRange sqref="E53:F53 F55 E57:E58" name="hoitokust"/>
    <protectedRange sqref="E62:E66 F66" name="korjuu"/>
  </protectedRanges>
  <mergeCells count="5">
    <mergeCell ref="H79:Q79"/>
    <mergeCell ref="H41:Q41"/>
    <mergeCell ref="H50:Q50"/>
    <mergeCell ref="H13:Q13"/>
    <mergeCell ref="H70:Q70"/>
  </mergeCells>
  <conditionalFormatting sqref="H83:Q83">
    <cfRule type="cellIs" dxfId="0" priority="1" operator="lessThan">
      <formula>0</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8</vt:i4>
      </vt:variant>
    </vt:vector>
  </HeadingPairs>
  <TitlesOfParts>
    <vt:vector size="10" baseType="lpstr">
      <vt:lpstr>Nykyarvolaskelma</vt:lpstr>
      <vt:lpstr>Sheet3</vt:lpstr>
      <vt:lpstr>hehtaarit</vt:lpstr>
      <vt:lpstr>humala</vt:lpstr>
      <vt:lpstr>korko</vt:lpstr>
      <vt:lpstr>lopo</vt:lpstr>
      <vt:lpstr>normisato</vt:lpstr>
      <vt:lpstr>palkka</vt:lpstr>
      <vt:lpstr>taimi</vt:lpstr>
      <vt:lpstr>tuet</vt:lpstr>
    </vt:vector>
  </TitlesOfParts>
  <Company>LUKE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Mäkinen Heikki</dc:creator>
  <cp:lastModifiedBy>Hartikainen Merja</cp:lastModifiedBy>
  <dcterms:created xsi:type="dcterms:W3CDTF">2019-03-12T11:26:59Z</dcterms:created>
  <dcterms:modified xsi:type="dcterms:W3CDTF">2019-09-02T11:01:22Z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-554234528</vt:i4>
  </property>
  <property fmtid="{D5CDD505-2E9C-101B-9397-08002B2CF9AE}" pid="3" name="_NewReviewCycle">
    <vt:lpwstr/>
  </property>
  <property fmtid="{D5CDD505-2E9C-101B-9397-08002B2CF9AE}" pid="4" name="_EmailSubject">
    <vt:lpwstr>kustannuslaskelmataulukko</vt:lpwstr>
  </property>
  <property fmtid="{D5CDD505-2E9C-101B-9397-08002B2CF9AE}" pid="5" name="_AuthorEmail">
    <vt:lpwstr>heikki.makinen@luke.fi</vt:lpwstr>
  </property>
  <property fmtid="{D5CDD505-2E9C-101B-9397-08002B2CF9AE}" pid="6" name="_AuthorEmailDisplayName">
    <vt:lpwstr>Mäkinen Heikki (Luke)</vt:lpwstr>
  </property>
  <property fmtid="{D5CDD505-2E9C-101B-9397-08002B2CF9AE}" pid="7" name="_ReviewingToolsShownOnce">
    <vt:lpwstr/>
  </property>
</Properties>
</file>